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7370" windowHeight="9135" tabRatio="934" firstSheet="12" activeTab="17"/>
  </bookViews>
  <sheets>
    <sheet name="Заголовочный раздел" sheetId="58" r:id="rId1"/>
    <sheet name="Показатели финансового состояни" sheetId="63" r:id="rId2"/>
    <sheet name="Показатели  по поступлениям" sheetId="62" r:id="rId3"/>
    <sheet name="Приложение 1" sheetId="79" r:id="rId4"/>
    <sheet name="Приложение 2" sheetId="69" r:id="rId5"/>
    <sheet name="Касс. план (50400)" sheetId="68" r:id="rId6"/>
    <sheet name="Касс. план Обл. бюдж." sheetId="64" r:id="rId7"/>
    <sheet name="Остаток Обл. бюдж." sheetId="74" r:id="rId8"/>
    <sheet name="Касс.пл. ХМАО" sheetId="65" r:id="rId9"/>
    <sheet name="Остаток ХМАО" sheetId="75" r:id="rId10"/>
    <sheet name="Касс.пл.Внеб.(50300)СВОД" sheetId="66" r:id="rId11"/>
    <sheet name="Касс.пл.Внеб.(50300) (2)" sheetId="72" r:id="rId12"/>
    <sheet name="Остаток Внеб.(50300)" sheetId="77" r:id="rId13"/>
    <sheet name="Касс.пл.Внеб.(50320)" sheetId="71" r:id="rId14"/>
    <sheet name="Остаток Внеб.(50320)" sheetId="73" r:id="rId15"/>
    <sheet name="Субсидия (50500)" sheetId="70" r:id="rId16"/>
    <sheet name="Остаток по субсидии" sheetId="76" r:id="rId17"/>
    <sheet name="Плановые показатели" sheetId="61" r:id="rId18"/>
  </sheets>
  <definedNames>
    <definedName name="_xlnm.Print_Area" localSheetId="5">'Касс. план (50400)'!$B$1:$J$66</definedName>
    <definedName name="_xlnm.Print_Area" localSheetId="6">'Касс. план Обл. бюдж.'!$B$1:$J$64</definedName>
    <definedName name="_xlnm.Print_Area" localSheetId="8">'Касс.пл. ХМАО'!$B$1:$J$64</definedName>
    <definedName name="_xlnm.Print_Area" localSheetId="11">'Касс.пл.Внеб.(50300) (2)'!$B$1:$J$70</definedName>
    <definedName name="_xlnm.Print_Area" localSheetId="10">'Касс.пл.Внеб.(50300)СВОД'!$B$1:$J$70</definedName>
    <definedName name="_xlnm.Print_Area" localSheetId="13">'Касс.пл.Внеб.(50320)'!$B$1:$J$69</definedName>
    <definedName name="_xlnm.Print_Area" localSheetId="12">'Остаток Внеб.(50300)'!$B$1:$J$69</definedName>
    <definedName name="_xlnm.Print_Area" localSheetId="14">'Остаток Внеб.(50320)'!$B$1:$J$69</definedName>
    <definedName name="_xlnm.Print_Area" localSheetId="7">'Остаток Обл. бюдж.'!$B$1:$J$64</definedName>
    <definedName name="_xlnm.Print_Area" localSheetId="16">'Остаток по субсидии'!$B$1:$J$63</definedName>
    <definedName name="_xlnm.Print_Area" localSheetId="9">'Остаток ХМАО'!$B$1:$J$64</definedName>
    <definedName name="_xlnm.Print_Area" localSheetId="17">'Плановые показатели'!$A$1:$N$32</definedName>
    <definedName name="_xlnm.Print_Area" localSheetId="2">'Показатели  по поступлениям'!$B$1:$H$48</definedName>
    <definedName name="_xlnm.Print_Area" localSheetId="3">'Приложение 1'!$A$1:$R$88</definedName>
    <definedName name="_xlnm.Print_Area" localSheetId="4">'Приложение 2'!$B$1:$K$74</definedName>
    <definedName name="_xlnm.Print_Area" localSheetId="15">'Субсидия (50500)'!$B$1:$J$63</definedName>
    <definedName name="_xlnm.Print_Titles" localSheetId="2">'Показатели  по поступлениям'!$3:$7</definedName>
    <definedName name="_xlnm.Print_Titles" localSheetId="3">'Приложение 1'!$A:$B</definedName>
    <definedName name="_xlnm.Print_Titles" localSheetId="4">'Приложение 2'!$5:$10</definedName>
    <definedName name="_xlnm.Print_Titles" localSheetId="5">'Касс. план (50400)'!$9:$14</definedName>
    <definedName name="_xlnm.Print_Titles" localSheetId="6">'Касс. план Обл. бюдж.'!$9:$14</definedName>
    <definedName name="_xlnm.Print_Titles" localSheetId="7">'Остаток Обл. бюдж.'!$9:$14</definedName>
    <definedName name="_xlnm.Print_Titles" localSheetId="8">'Касс.пл. ХМАО'!$9:$14</definedName>
    <definedName name="_xlnm.Print_Titles" localSheetId="9">'Остаток ХМАО'!$9:$14</definedName>
    <definedName name="_xlnm.Print_Titles" localSheetId="10">'Касс.пл.Внеб.(50300)СВОД'!$9:$14</definedName>
    <definedName name="_xlnm.Print_Titles" localSheetId="11">'Касс.пл.Внеб.(50300) (2)'!$9:$14</definedName>
    <definedName name="_xlnm.Print_Titles" localSheetId="12">'Остаток Внеб.(50300)'!$9:$14</definedName>
    <definedName name="_xlnm.Print_Titles" localSheetId="13">'Касс.пл.Внеб.(50320)'!$9:$14</definedName>
    <definedName name="_xlnm.Print_Titles" localSheetId="14">'Остаток Внеб.(50320)'!$9:$14</definedName>
    <definedName name="_xlnm.Print_Titles" localSheetId="15">'Субсидия (50500)'!$9:$14</definedName>
    <definedName name="_xlnm.Print_Titles" localSheetId="16">'Остаток по субсидии'!$9:$14</definedName>
  </definedNames>
  <calcPr calcId="152511"/>
</workbook>
</file>

<file path=xl/sharedStrings.xml><?xml version="1.0" encoding="utf-8"?>
<sst xmlns="http://schemas.openxmlformats.org/spreadsheetml/2006/main" count="1383" uniqueCount="235">
  <si>
    <t>(подпись)</t>
  </si>
  <si>
    <t>(расшифровка подписи)</t>
  </si>
  <si>
    <t>ПЛАН</t>
  </si>
  <si>
    <t>ФИНАНСОВО-ХОЗЯЙСТВЕННОЙ ДЕЯТЕЛЬНОСТИ АВТОНОМНОГО УЧРЕЖДЕНИЯ ТЮМЕНСКОЙ ОБЛАСТИ</t>
  </si>
  <si>
    <t>(наименование автономного учреждения)</t>
  </si>
  <si>
    <t>Руководитель</t>
  </si>
  <si>
    <t>Главный бухгалтер</t>
  </si>
  <si>
    <t>Исполнитель</t>
  </si>
  <si>
    <t>УТВЕРЖДАЮ</t>
  </si>
  <si>
    <t>Наименование финансового показателя</t>
  </si>
  <si>
    <t>Плановые показатели</t>
  </si>
  <si>
    <t>Наименование показателя</t>
  </si>
  <si>
    <t>Планируемый остаток средств на начало года</t>
  </si>
  <si>
    <t>Поступления всего,                                                                                                                                       в том числе:</t>
  </si>
  <si>
    <t>- субсидии на выполнение задания учредителя</t>
  </si>
  <si>
    <t>- от оказания платных услуг в соответствии с уставом</t>
  </si>
  <si>
    <t>- иные поступления, в том числе от реализации ценных бумаг</t>
  </si>
  <si>
    <t>Выплаты  всего,                                                                                                                                            в том числе:</t>
  </si>
  <si>
    <t>- оплата труда и начисления на выплаты</t>
  </si>
  <si>
    <t>- услуги связи</t>
  </si>
  <si>
    <t>- коммунальные услуги</t>
  </si>
  <si>
    <t>- арендная плата за пользование имуществом</t>
  </si>
  <si>
    <t>- услуги по содержанию имущества</t>
  </si>
  <si>
    <t>- приобретение ОС,МПЗ,НМА</t>
  </si>
  <si>
    <t>- прочие расходы и выплаты, не запрещенные законодательством</t>
  </si>
  <si>
    <t>Планируемый остаток средств на конец года</t>
  </si>
  <si>
    <t>(наименование должности лица, утверждающего документ)</t>
  </si>
  <si>
    <t>КОДЫ</t>
  </si>
  <si>
    <t>по ОКЕИ</t>
  </si>
  <si>
    <t>1.1.Цели деятельности автономного учреждения</t>
  </si>
  <si>
    <t>1.3.Перечень работ (услуг)</t>
  </si>
  <si>
    <t>II. Показатели финансового состояния  автономного учреждения на отчетную дату</t>
  </si>
  <si>
    <t>из них:</t>
  </si>
  <si>
    <t>в том числе:</t>
  </si>
  <si>
    <t>III. Показатели по поступлениям и выплатам учреждения</t>
  </si>
  <si>
    <t>КОСГУ</t>
  </si>
  <si>
    <t>Х</t>
  </si>
  <si>
    <t>Поступления, всего:</t>
  </si>
  <si>
    <t>Выплаты, всего:</t>
  </si>
  <si>
    <t>Заработная плата</t>
  </si>
  <si>
    <t>211</t>
  </si>
  <si>
    <t>Прочие выплаты</t>
  </si>
  <si>
    <t>Начисления на выплаты по оплате труда</t>
  </si>
  <si>
    <t>213</t>
  </si>
  <si>
    <t>Оплата работ, услуг, всего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</si>
  <si>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</si>
  <si>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</si>
  <si>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</si>
  <si>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</si>
  <si>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</si>
  <si>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</si>
  <si>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</si>
  <si>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</si>
  <si>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</si>
  <si>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</si>
  <si>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241</t>
  </si>
  <si>
    <t>Социальное обеспечение, всего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</si>
  <si>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</si>
  <si>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</si>
  <si>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</si>
  <si>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</si>
  <si>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263</t>
  </si>
  <si>
    <t>Прочие расходы</t>
  </si>
  <si>
    <t>290</t>
  </si>
  <si>
    <t>Поступление нефинансовых активов, всего</t>
  </si>
  <si>
    <t>300</t>
  </si>
  <si>
    <t>Увеличение стоимости основных средств</t>
  </si>
  <si>
    <t>310</t>
  </si>
  <si>
    <t>Увеличение стоимости нематериальных активов</t>
  </si>
  <si>
    <t>320</t>
  </si>
  <si>
    <t>Увеличение стоимости материальных запасов</t>
  </si>
  <si>
    <t>340</t>
  </si>
  <si>
    <t>Поступление финансовых активов, всего</t>
  </si>
  <si>
    <t>500</t>
  </si>
  <si>
    <t>Увеличение стоимости ценных бумаг, кроме акций и иных форм участия в капитале</t>
  </si>
  <si>
    <t>520</t>
  </si>
  <si>
    <t>Увеличение стоимости  акций и иных форм участия в капитале</t>
  </si>
  <si>
    <t>530</t>
  </si>
  <si>
    <t>Справочно:</t>
  </si>
  <si>
    <t>Объем публичных обязательств, всего</t>
  </si>
  <si>
    <t>Увеличение стоимости непроизводственных активов</t>
  </si>
  <si>
    <t>330</t>
  </si>
  <si>
    <t>полное официальное наименование автономного учреждения</t>
  </si>
  <si>
    <t xml:space="preserve">наименование органа, осуществляющего функции и полномочия учредителя </t>
  </si>
  <si>
    <t>адрес фактического местонахождения  автономного учреждения</t>
  </si>
  <si>
    <r>
      <t xml:space="preserve">Единица измерения:    </t>
    </r>
    <r>
      <rPr>
        <b/>
        <sz val="10"/>
        <rFont val="Arial Cyr"/>
        <family val="2"/>
      </rPr>
      <t>руб</t>
    </r>
    <r>
      <rPr>
        <sz val="10"/>
        <rFont val="Arial Cyr"/>
        <family val="2"/>
      </rPr>
      <t>.</t>
    </r>
  </si>
  <si>
    <t>Нефинансовые активы, всего:</t>
  </si>
  <si>
    <t>недвижимое имущество, всего</t>
  </si>
  <si>
    <t>остаточная стоимость</t>
  </si>
  <si>
    <t>Финансовые активы, всего</t>
  </si>
  <si>
    <t>дебиторская задолженность по доходам</t>
  </si>
  <si>
    <t>дебиторская задолженность по расходам</t>
  </si>
  <si>
    <t>Обязательства, всего</t>
  </si>
  <si>
    <t>просроченная кредиторская задолженность</t>
  </si>
  <si>
    <t>в том числе</t>
  </si>
  <si>
    <t>по лицевым счетам, открытым в органах, осуществляющих ведение лицевых счетов учреждений</t>
  </si>
  <si>
    <t>по счетам, открытым в кредитных организациях</t>
  </si>
  <si>
    <t>Остаток средств</t>
  </si>
  <si>
    <t>в том числе по кварталам:</t>
  </si>
  <si>
    <t>I</t>
  </si>
  <si>
    <t>II</t>
  </si>
  <si>
    <t>III</t>
  </si>
  <si>
    <t>IV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</si>
  <si>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</si>
  <si>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</si>
  <si>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Оплата труда и начисления на выплаты по оплате труда, всего</t>
  </si>
  <si>
    <t>Поступило, всего</t>
  </si>
  <si>
    <t>I. Сведения о деятельности автономного  учреждения</t>
  </si>
  <si>
    <t>особо ценное движимое имущество, всего</t>
  </si>
  <si>
    <t>Сумма (руб.)</t>
  </si>
  <si>
    <t>Прочие работы, услуги</t>
  </si>
  <si>
    <t>(источник финансирования)</t>
  </si>
  <si>
    <t>К А С С О В Ы Й   П Л А Н</t>
  </si>
  <si>
    <t>(наименование должности лица утверждающего документ)</t>
  </si>
  <si>
    <t>Размер, руб.</t>
  </si>
  <si>
    <t xml:space="preserve">                                                                                                            Балабина С.Е.</t>
  </si>
  <si>
    <t xml:space="preserve">Областной бюджет    </t>
  </si>
  <si>
    <t xml:space="preserve"> - Областной бюджет</t>
  </si>
  <si>
    <t>- транспортные услуги</t>
  </si>
  <si>
    <t>(наименование учреждения)</t>
  </si>
  <si>
    <t>Субсидия на финансовое обеспечение выполнения государственного задания  за счет средств:</t>
  </si>
  <si>
    <t>Субсидия на иные цели</t>
  </si>
  <si>
    <t>Областной бюджет</t>
  </si>
  <si>
    <t>3=4+5+6+7</t>
  </si>
  <si>
    <t>4</t>
  </si>
  <si>
    <t xml:space="preserve">  Областной бюджет</t>
  </si>
  <si>
    <t xml:space="preserve"> - Субсидия на иные цели</t>
  </si>
  <si>
    <t>Средства от приносящей доход деятельности</t>
  </si>
  <si>
    <t xml:space="preserve"> - Средства от приносящей доход деятельности</t>
  </si>
  <si>
    <t>Расшифровка показателей к разделу III по поступлениям и выплатам учреждения в разрезе источников финансирования</t>
  </si>
  <si>
    <t>Приложение к плану ФХД</t>
  </si>
  <si>
    <t xml:space="preserve"> - гранты</t>
  </si>
  <si>
    <t xml:space="preserve"> - спонсорская помощь</t>
  </si>
  <si>
    <t xml:space="preserve"> - Средства от приносящей доход деятельности, всего:</t>
  </si>
  <si>
    <t>Приложение 1</t>
  </si>
  <si>
    <t>(подпись)                                                                                                                                                     (расшифровка подписи)</t>
  </si>
  <si>
    <t>(подпись)                                                                                    (расшифровка подписи)</t>
  </si>
  <si>
    <t>1.2.Виды деятельности автономного учреждения</t>
  </si>
  <si>
    <t xml:space="preserve"> - Субсидия на исполнение полномочий переданных РФ в части "Обеспечения отдельных категорий граждан техническими средствами реабилитации…"</t>
  </si>
  <si>
    <t>Код субсидии</t>
  </si>
  <si>
    <t xml:space="preserve"> - доходы от оказания платных услуг</t>
  </si>
  <si>
    <t xml:space="preserve"> - доходы от штрафов, пеней, иных сумм принудительного изъятия</t>
  </si>
  <si>
    <t xml:space="preserve"> - доходы от выбытия материальных запасов</t>
  </si>
  <si>
    <t>2016 год</t>
  </si>
  <si>
    <t>Прочие безвозмездные поступления (гранты, спонсорская помощь)</t>
  </si>
  <si>
    <t>Остаток денежных средств по прочим безвозмездным поступлениям (гранты, спонсорская помощь)</t>
  </si>
  <si>
    <t>Остаток денежных средств по субсидии на иные цели</t>
  </si>
  <si>
    <t>Остаток денежных средств от приносящей доход деятельности</t>
  </si>
  <si>
    <t xml:space="preserve"> - средства от приносящей доход деятельности</t>
  </si>
  <si>
    <t xml:space="preserve"> - прочие безвозмездные поступления, всего:</t>
  </si>
  <si>
    <t>Приложение  1</t>
  </si>
  <si>
    <t xml:space="preserve">Перечень изменений вносимых в план финансово-хозяйственной деятельности </t>
  </si>
  <si>
    <t>Изменения ассигнований, "+" дополнительная потребность, "-" экономия</t>
  </si>
  <si>
    <t>Средства  от приносящей доход деятельности</t>
  </si>
  <si>
    <t>3 =4+5+6+7</t>
  </si>
  <si>
    <t>8 = 9+10+11+12</t>
  </si>
  <si>
    <t>13= 14+15+16+17</t>
  </si>
  <si>
    <t>14=9-4</t>
  </si>
  <si>
    <t>15=10-5</t>
  </si>
  <si>
    <t>16=11-6</t>
  </si>
  <si>
    <t>17 =12-7</t>
  </si>
  <si>
    <t xml:space="preserve"> - Субсидия на финансовое обеспечение выполнения государственного задания, всего:</t>
  </si>
  <si>
    <t>310*</t>
  </si>
  <si>
    <t>340*</t>
  </si>
  <si>
    <t>Поступления, всего в том числе:</t>
  </si>
  <si>
    <t>"+" дополнительная потребность</t>
  </si>
  <si>
    <t>"-" экономия</t>
  </si>
  <si>
    <t>Согласованно финансовым отделом департамента</t>
  </si>
  <si>
    <t>социального развития Тюменской области:</t>
  </si>
  <si>
    <t>Начальник отдела                   ________ Баринова Т.И.</t>
  </si>
  <si>
    <t>Главный специалист отдела ________ Волков Е.П.</t>
  </si>
  <si>
    <t>____</t>
  </si>
  <si>
    <t xml:space="preserve">1.6.2. Стоимость имущества, приобретенного за счет средств, выделенных учредителем                                                                                    </t>
  </si>
  <si>
    <t>" ____ "</t>
  </si>
  <si>
    <t>"  ____ "</t>
  </si>
  <si>
    <t>"  ___ "</t>
  </si>
  <si>
    <t>" ___ "</t>
  </si>
  <si>
    <r>
      <t xml:space="preserve">Примечание (причина изменения ассигнований, </t>
    </r>
    <r>
      <rPr>
        <b/>
        <u val="single"/>
        <sz val="12"/>
        <color indexed="8"/>
        <rFont val="Arial"/>
        <family val="2"/>
      </rPr>
      <t>номер, дата документа о перераспределении ассигнований между статьями расходов</t>
    </r>
    <r>
      <rPr>
        <sz val="12"/>
        <color indexed="8"/>
        <rFont val="Arial"/>
        <family val="2"/>
      </rPr>
      <t>)</t>
    </r>
  </si>
  <si>
    <t xml:space="preserve">  Субсидия на исполнение полномочий переданных РФ в части "Перевозки несовершеннолетних …"</t>
  </si>
  <si>
    <t>* - при изменении ассигнований по КОСГУ 310, 340, необходимо предоставить расшифровку с перечнем оборудования, ТМЦ</t>
  </si>
  <si>
    <t>ОЦП "Сотрудничество" (ХМАО)</t>
  </si>
  <si>
    <t>СВОД (Областной бюджет, ОЦП "Сотрудничество" ХМАО)</t>
  </si>
  <si>
    <t xml:space="preserve">  ОЦП "Сотрудничество" ХМАО с учетом остатка на 01.01.2014 год</t>
  </si>
  <si>
    <t xml:space="preserve">Остаток средств по ОЦП "Сотрудничество" ХМАО   </t>
  </si>
  <si>
    <t xml:space="preserve"> ОЦП "Сотрудничество" ХМАО  </t>
  </si>
  <si>
    <t xml:space="preserve">  - ОЦП "Сотрудничество" ХМАО</t>
  </si>
  <si>
    <t>Осуществление социальной защиты клиентов, проживающих в Автономном учреждении путем стабильного материально-бытового обеспечения, создания наиболее адекватных их возрасту и состоянию здоровья условий жизнедеятельности в соответствии с действующим законодательством.</t>
  </si>
  <si>
    <t xml:space="preserve">85.31 – Предоставление социальных услуг  с обеспечением проживания.  40.30.1 – Производство пара и горячей воды (тепловой энергии). 51.5 – Оптовая торговля несельскохозяйственными промежуточными продуктами, отходами и ломом. 52.4 – Прочая розничная торговля в специализированных магазинах. 55.5 – Деятельность столовых при предприятиях и учреждениях и поставка продукции общественного питания. 60.2 – Деятельность прочего сухопутного транспорта; 71.4 – Прокат бытовых изделий и предметов личного пользования. 85.1 – Деятельность в области здравоохранения. 92.72 – Прочая деятельность по организации отдыха и развлечений, не включенная в другие группировки. 93.01 – Стирка, химическая чистка и окрашивание текстильных и меховых изделий. 93.02 – Предоставление услуг парикмахерскими и салонами красоты. 93.03 – Организация похорон и предоставление связанных с ними услуг. 93.05 – Предоставление прочих персональных услуг.  </t>
  </si>
  <si>
    <t>Стационарное социальное обслуживание, направленное на оказание разносторонней социально-бытовой помощи гражданам пожилого возраста (мужчинам старше 60 лет и женщинам старше 55 лет) и инвалидам (старше 18 лет), страдающим психическими хроническими заболеваниями, частично или полностью утратившим способность к самообслуживанию и нуждающимся по состоянию здоровья в постоянном постороннем уходе и наблюдении; осуществление социальной защиты клиентов проживающих в учреждении (далее – клиенты) путём стабильного материально-бытового обеспечения, создания наиболее адекватных их возрасту и состоянию здоровья условий жизнедеятельности в соответствии с действующим законодательством; осуществление мероприятий социально-реабилитационного, социально-медицинского, лечебно-трудового характера;организация ухода и надзора за клиентами, их отдыха и досуга, проведение лечебно-оздоровительных и профилактических мероприятий;повышение квалификации специалистов Учреждения.</t>
  </si>
  <si>
    <t>Предоставление социальных услуг населению; организация социально-реабилитационной деятельности; организация медицинской деятельности; издательская и полиграфическая деятельность, тиражирование записанных носителей информации;  растениеводство; овощеводство; декоративное  садоводство и производство продукции   питомников; производство одежды из текстильных материалов и аксессуаров одежды; производство спецодежды; производство, ремонт  верхней  одежды; производство мебели;  организация похорон и предоставление связанных с ними услуг; организация банкетов;  деятельность столовых,  поставка продукции общественного питания;  предоставление медико-социальных услуг; деятельность по организации отдыха и развлечений, культуры и спорта; деятельность концертных и театральных залов;  деятельность библиотек, архивов, учреждений клубного типа; деятельность в области спорта; прочая деятельность по организации отдыха и развлечений;  предоставление услуг по видео-, фотосъемкам; предоставление услуг банно-прачечного комплекса; предоставление услуг по прокату имущества, являющегося собственностью  учреждения; предоставление транспортных услуг; предоставление услуг по сантехническим, электромонтажным, сварочным,  столярным работам; предоставление услуг парикмахерскими и салонами красоты; физкультурно-оздоровительная деятельность; реализация отходов пищеблока (пищевые отходы); реализация отходов котельной (шлак);  реализация стеклотары; реализация металлического лома, макулатуры и текстильной ветоши; предоставление жилищно-коммунальных услуг (предоставление жилых помещений по договору социального найма, техническое обслуживание жилья, отопление, водоснабжение, водоотведение, вывоз твердых бытовых отходов); предоставление услуг ксерокопирования;  организация розничной торговли.</t>
  </si>
  <si>
    <t xml:space="preserve"> - доходы от собственности</t>
  </si>
  <si>
    <t xml:space="preserve">1.4.2. Стоимость имущества, приобретенного за счет средств, выделенных учредителем </t>
  </si>
  <si>
    <t xml:space="preserve">1.5.2. Общая балансовая стоимость имущества  приобретенного за счет средств, выделенных учредителем                                          </t>
  </si>
  <si>
    <t xml:space="preserve">1.6.3. Стоимость имущества, приобретенного за счет средств, полученных в результате осуществления приносящей доход деятельности </t>
  </si>
  <si>
    <t>_____________2015  г.</t>
  </si>
  <si>
    <t>на 2015  год и на плановый период 2016, 2017 гг.</t>
  </si>
  <si>
    <t>Всего, на 2015 год</t>
  </si>
  <si>
    <t>2017 год</t>
  </si>
  <si>
    <t>Всего, на 2015год</t>
  </si>
  <si>
    <t>Директор_________________</t>
  </si>
  <si>
    <t>Главный бухгалтер______________</t>
  </si>
  <si>
    <t>Приложение 2 к приказу</t>
  </si>
  <si>
    <t>______________ 2015 года</t>
  </si>
  <si>
    <t>Всего на 2015 год</t>
  </si>
  <si>
    <t>вывоз ТБО</t>
  </si>
  <si>
    <t>ПСД</t>
  </si>
  <si>
    <t>продукты питания</t>
  </si>
  <si>
    <t>медикаменты</t>
  </si>
  <si>
    <t>ГСМ</t>
  </si>
  <si>
    <t>мягкий инвентарь</t>
  </si>
  <si>
    <t>_____________ 2015 года</t>
  </si>
  <si>
    <t>____________ 2015 года</t>
  </si>
  <si>
    <t>Остаток средств по областному бюджету  на 01.01.2015</t>
  </si>
  <si>
    <t>Всего на 2015год</t>
  </si>
  <si>
    <t>2017год</t>
  </si>
  <si>
    <t>Исполнитель: экономист Валенцева Е.В.</t>
  </si>
  <si>
    <t>тел.: 834551 (22590)</t>
  </si>
  <si>
    <t>"01" января 2015  г.</t>
  </si>
  <si>
    <t>Автономное стационарное учреждение социального обслуживания населения Тюменской области "Ишимский геронтологический центр"</t>
  </si>
  <si>
    <t>Департамент социального развития Тюменской области</t>
  </si>
  <si>
    <t>г. Ишим, ул. Заречная дом 16.</t>
  </si>
  <si>
    <t xml:space="preserve">1.4. Общая балансовая стоимость недвижимого имущества,  всего         11 424 284,00                                                                         </t>
  </si>
  <si>
    <t xml:space="preserve">1.5.1. Общая балансовая стоимость имущества,  закрепленного  за автономным учреждением учредителем    18 667 446,59                                    </t>
  </si>
  <si>
    <t>1.4.3. Стоимость имущества, приобретенного за счет средств, полученных в результате осуществления приносящей доход деятельности    128 220,00</t>
  </si>
  <si>
    <t xml:space="preserve">1.4.1. Стоимость имущества,  закрепленного за автономным учреждением учредителем              11 296 064,00                                                      </t>
  </si>
  <si>
    <t xml:space="preserve">1.6. Общая балансовая стоимость прочего движимого имущества,      5 706 381,41                                                                                                                                                </t>
  </si>
  <si>
    <t xml:space="preserve">1.6.1. Стоимость имущества,  закрепленного за автономным учреждением учредителем      5 706 381,41                                                                            </t>
  </si>
  <si>
    <t>Т.И. Сиюткина</t>
  </si>
  <si>
    <t>Е.Ю. Разина</t>
  </si>
  <si>
    <t>Директор АСУСОН ТО "Ишимский геронтологический центр"</t>
  </si>
  <si>
    <r>
      <rPr>
        <b/>
        <sz val="12"/>
        <color indexed="8"/>
        <rFont val="Arial"/>
        <family val="2"/>
      </rPr>
      <t xml:space="preserve">Утвержденные </t>
    </r>
    <r>
      <rPr>
        <sz val="12"/>
        <color indexed="8"/>
        <rFont val="Arial"/>
        <family val="2"/>
      </rPr>
      <t>ассигнования на 01.01.2015год</t>
    </r>
  </si>
  <si>
    <t>к протоколу № 2 от 12.03.2015.</t>
  </si>
  <si>
    <r>
      <rPr>
        <b/>
        <sz val="12"/>
        <rFont val="Arial"/>
        <family val="2"/>
      </rPr>
      <t xml:space="preserve">Уточненные </t>
    </r>
    <r>
      <rPr>
        <sz val="12"/>
        <rFont val="Arial"/>
        <family val="2"/>
      </rPr>
      <t>ассигнования на 16.03.2015год</t>
    </r>
  </si>
  <si>
    <t>к протоколу № 2  от 12.03.2015г.</t>
  </si>
  <si>
    <t xml:space="preserve">1.5. Общая балансовая стоимость особо ценное движимого имущества   18 667 446,59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</si>
</sst>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47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vertAlign val="superscript"/>
      <sz val="10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i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vertAlign val="superscript"/>
      <sz val="11"/>
      <name val="Arial Cyr"/>
      <family val="2"/>
    </font>
    <font>
      <sz val="14"/>
      <name val="Arial Cyr"/>
      <family val="2"/>
    </font>
    <font>
      <vertAlign val="superscript"/>
      <sz val="9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vertAlign val="superscript"/>
      <sz val="12"/>
      <name val="Arial Cyr"/>
      <family val="2"/>
    </font>
    <font>
      <u val="single"/>
      <sz val="9"/>
      <name val="Arial Cyr"/>
      <family val="2"/>
    </font>
    <font>
      <sz val="12"/>
      <name val="Arial"/>
      <family val="2"/>
    </font>
    <font>
      <sz val="11"/>
      <name val="Arial"/>
      <family val="2"/>
    </font>
    <font>
      <sz val="11.5"/>
      <name val="Arial Cyr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Arial"/>
      <family val="2"/>
    </font>
    <font>
      <sz val="10"/>
      <color rgb="FFFF0000"/>
      <name val="Arial Cyr"/>
      <family val="2"/>
    </font>
    <font>
      <b/>
      <u val="single"/>
      <sz val="11"/>
      <name val="Arial Cyr"/>
      <family val="2"/>
    </font>
    <font>
      <i/>
      <sz val="12"/>
      <name val="Arial"/>
      <family val="2"/>
    </font>
    <font>
      <i/>
      <sz val="12"/>
      <name val="Arial Cyr"/>
      <family val="2"/>
    </font>
    <font>
      <b/>
      <sz val="12"/>
      <name val="Arial"/>
      <family val="2"/>
    </font>
    <font>
      <i/>
      <sz val="11"/>
      <name val="Arial Cyr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</font>
    <font>
      <sz val="8"/>
      <name val="Arial"/>
      <family val="2"/>
    </font>
    <font>
      <sz val="11"/>
      <color rgb="FF7030A0"/>
      <name val="Arial"/>
      <family val="2"/>
    </font>
    <font>
      <sz val="11"/>
      <color rgb="FFFF0000"/>
      <name val="Arial"/>
      <family val="2"/>
    </font>
    <font>
      <sz val="10"/>
      <color rgb="FFC00000"/>
      <name val="Arial Cyr"/>
      <family val="2"/>
    </font>
    <font>
      <b/>
      <sz val="10"/>
      <color rgb="FFC00000"/>
      <name val="Arial Cyr"/>
      <family val="2"/>
    </font>
    <font>
      <sz val="10"/>
      <color theme="1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468">
    <xf numFmtId="0" fontId="0" fillId="0" borderId="0" xfId="0"/>
    <xf numFmtId="0" fontId="0" fillId="0" borderId="0" xfId="0" applyBorder="1"/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2" borderId="0" xfId="0" applyFont="1" applyFill="1"/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8" fillId="0" borderId="0" xfId="0" applyFont="1"/>
    <xf numFmtId="0" fontId="5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2" borderId="0" xfId="0" applyFont="1" applyFill="1"/>
    <xf numFmtId="49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4" fontId="0" fillId="0" borderId="2" xfId="2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6" xfId="0" applyFont="1" applyBorder="1" applyAlignment="1">
      <alignment horizontal="center" vertical="top"/>
    </xf>
    <xf numFmtId="0" fontId="22" fillId="0" borderId="0" xfId="0" applyFont="1" applyBorder="1" applyAlignment="1">
      <alignment vertical="top"/>
    </xf>
    <xf numFmtId="0" fontId="0" fillId="0" borderId="0" xfId="0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0" fontId="0" fillId="0" borderId="0" xfId="0" applyProtection="1">
      <protection/>
    </xf>
    <xf numFmtId="0" fontId="7" fillId="0" borderId="0" xfId="0" applyFont="1" applyBorder="1" applyAlignment="1" applyProtection="1">
      <alignment vertical="center" wrapText="1"/>
      <protection/>
    </xf>
    <xf numFmtId="0" fontId="0" fillId="0" borderId="0" xfId="0" applyBorder="1" applyProtection="1">
      <protection/>
    </xf>
    <xf numFmtId="0" fontId="0" fillId="2" borderId="0" xfId="0" applyFont="1" applyFill="1" applyProtection="1"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left" vertical="center" wrapText="1"/>
      <protection/>
    </xf>
    <xf numFmtId="0" fontId="5" fillId="0" borderId="5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0" xfId="0" applyFont="1" applyProtection="1">
      <protection/>
    </xf>
    <xf numFmtId="0" fontId="0" fillId="0" borderId="5" xfId="0" applyBorder="1" applyAlignment="1" applyProtection="1">
      <alignment horizontal="left" vertical="center" wrapText="1"/>
      <protection/>
    </xf>
    <xf numFmtId="49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49" fontId="5" fillId="2" borderId="1" xfId="0" applyNumberFormat="1" applyFont="1" applyFill="1" applyBorder="1" applyAlignment="1" applyProtection="1">
      <alignment horizontal="center" vertical="center" wrapText="1"/>
      <protection/>
    </xf>
    <xf numFmtId="49" fontId="0" fillId="2" borderId="1" xfId="0" applyNumberFormat="1" applyFont="1" applyFill="1" applyBorder="1" applyAlignment="1" applyProtection="1">
      <alignment horizontal="left" vertical="center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left" vertical="center" wrapText="1"/>
      <protection/>
    </xf>
    <xf numFmtId="0" fontId="8" fillId="0" borderId="1" xfId="0" applyFont="1" applyBorder="1" applyAlignment="1" applyProtection="1">
      <alignment horizontal="left" vertical="center" wrapText="1"/>
      <protection/>
    </xf>
    <xf numFmtId="0" fontId="0" fillId="2" borderId="0" xfId="0" applyFont="1" applyFill="1" applyProtection="1">
      <protection/>
    </xf>
    <xf numFmtId="0" fontId="0" fillId="2" borderId="0" xfId="0" applyFont="1" applyFill="1" applyAlignment="1" applyProtection="1">
      <alignment horizontal="center"/>
      <protection/>
    </xf>
    <xf numFmtId="0" fontId="21" fillId="0" borderId="0" xfId="0" applyFont="1" applyProtection="1">
      <protection/>
    </xf>
    <xf numFmtId="0" fontId="8" fillId="2" borderId="0" xfId="0" applyFont="1" applyFill="1" applyProtection="1"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49" fontId="10" fillId="2" borderId="1" xfId="0" applyNumberFormat="1" applyFon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18" fillId="0" borderId="1" xfId="0" applyFont="1" applyBorder="1" applyAlignment="1" applyProtection="1">
      <alignment horizontal="left" vertical="center" wrapText="1"/>
      <protection/>
    </xf>
    <xf numFmtId="0" fontId="19" fillId="0" borderId="1" xfId="0" applyFont="1" applyBorder="1" applyAlignment="1" applyProtection="1">
      <alignment horizontal="left" vertical="center" wrapText="1"/>
      <protection/>
    </xf>
    <xf numFmtId="0" fontId="9" fillId="0" borderId="1" xfId="0" applyFont="1" applyBorder="1" applyAlignment="1" applyProtection="1">
      <alignment horizontal="left" vertical="center" wrapText="1"/>
      <protection/>
    </xf>
    <xf numFmtId="49" fontId="20" fillId="2" borderId="1" xfId="0" applyNumberFormat="1" applyFont="1" applyFill="1" applyBorder="1" applyAlignment="1" applyProtection="1">
      <alignment horizontal="center" vertical="center" wrapText="1"/>
      <protection/>
    </xf>
    <xf numFmtId="0" fontId="22" fillId="0" borderId="6" xfId="0" applyFont="1" applyBorder="1" applyAlignment="1" applyProtection="1">
      <alignment horizontal="center" vertical="top"/>
      <protection/>
    </xf>
    <xf numFmtId="0" fontId="22" fillId="0" borderId="0" xfId="0" applyFont="1" applyBorder="1" applyAlignment="1" applyProtection="1">
      <alignment horizontal="center" vertical="top"/>
      <protection/>
    </xf>
    <xf numFmtId="0" fontId="0" fillId="2" borderId="0" xfId="0" applyFont="1" applyFill="1" applyProtection="1">
      <protection/>
    </xf>
    <xf numFmtId="164" fontId="0" fillId="3" borderId="1" xfId="0" applyNumberFormat="1" applyFill="1" applyBorder="1" applyAlignment="1" applyProtection="1">
      <alignment horizontal="center" vertical="center" wrapText="1"/>
      <protection/>
    </xf>
    <xf numFmtId="164" fontId="0" fillId="4" borderId="1" xfId="0" applyNumberFormat="1" applyFill="1" applyBorder="1" applyAlignment="1" applyProtection="1">
      <alignment horizontal="center" vertical="center" wrapText="1"/>
      <protection locked="0"/>
    </xf>
    <xf numFmtId="164" fontId="0" fillId="4" borderId="4" xfId="20" applyNumberFormat="1" applyFont="1" applyFill="1" applyBorder="1" applyAlignment="1" applyProtection="1">
      <alignment horizontal="center" vertical="center" wrapText="1"/>
      <protection locked="0"/>
    </xf>
    <xf numFmtId="164" fontId="0" fillId="4" borderId="2" xfId="20" applyNumberFormat="1" applyFont="1" applyFill="1" applyBorder="1" applyAlignment="1" applyProtection="1">
      <alignment horizontal="center" vertical="center" wrapText="1"/>
      <protection locked="0"/>
    </xf>
    <xf numFmtId="164" fontId="5" fillId="3" borderId="2" xfId="20" applyNumberFormat="1" applyFont="1" applyFill="1" applyBorder="1" applyAlignment="1" applyProtection="1">
      <alignment horizontal="center" vertical="center" wrapText="1"/>
      <protection/>
    </xf>
    <xf numFmtId="164" fontId="0" fillId="3" borderId="4" xfId="20" applyNumberFormat="1" applyFont="1" applyFill="1" applyBorder="1" applyAlignment="1" applyProtection="1">
      <alignment horizontal="center" vertical="center" wrapText="1"/>
      <protection/>
    </xf>
    <xf numFmtId="164" fontId="0" fillId="3" borderId="2" xfId="20" applyNumberFormat="1" applyFont="1" applyFill="1" applyBorder="1" applyAlignment="1" applyProtection="1">
      <alignment horizontal="center" vertical="center" wrapText="1"/>
      <protection/>
    </xf>
    <xf numFmtId="164" fontId="5" fillId="4" borderId="2" xfId="2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/>
    </xf>
    <xf numFmtId="0" fontId="0" fillId="2" borderId="0" xfId="0" applyFill="1" applyProtection="1">
      <protection/>
    </xf>
    <xf numFmtId="164" fontId="0" fillId="2" borderId="0" xfId="0" applyNumberFormat="1" applyFill="1" applyProtection="1">
      <protection/>
    </xf>
    <xf numFmtId="164" fontId="0" fillId="0" borderId="0" xfId="0" applyNumberFormat="1" applyProtection="1">
      <protection/>
    </xf>
    <xf numFmtId="0" fontId="23" fillId="0" borderId="0" xfId="0" applyFont="1" applyAlignment="1">
      <alignment/>
    </xf>
    <xf numFmtId="0" fontId="17" fillId="0" borderId="0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0" fillId="0" borderId="0" xfId="0" applyFill="1" applyProtection="1">
      <protection/>
    </xf>
    <xf numFmtId="0" fontId="17" fillId="0" borderId="0" xfId="0" applyFont="1" applyFill="1" applyBorder="1" applyAlignment="1" applyProtection="1">
      <alignment/>
      <protection locked="0"/>
    </xf>
    <xf numFmtId="0" fontId="10" fillId="0" borderId="0" xfId="0" applyFont="1" applyFill="1" applyProtection="1"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3" fontId="0" fillId="0" borderId="1" xfId="20" applyNumberFormat="1" applyFont="1" applyBorder="1" applyAlignment="1">
      <alignment horizontal="left" vertical="center" wrapText="1"/>
    </xf>
    <xf numFmtId="43" fontId="0" fillId="2" borderId="1" xfId="20" applyNumberFormat="1" applyFont="1" applyFill="1" applyBorder="1" applyAlignment="1">
      <alignment horizontal="center" vertical="center" wrapText="1"/>
    </xf>
    <xf numFmtId="43" fontId="0" fillId="2" borderId="1" xfId="20" applyNumberFormat="1" applyFont="1" applyFill="1" applyBorder="1"/>
    <xf numFmtId="43" fontId="5" fillId="0" borderId="1" xfId="20" applyNumberFormat="1" applyFont="1" applyBorder="1" applyAlignment="1">
      <alignment horizontal="left" vertical="center" wrapText="1"/>
    </xf>
    <xf numFmtId="43" fontId="5" fillId="2" borderId="1" xfId="20" applyNumberFormat="1" applyFont="1" applyFill="1" applyBorder="1" applyAlignment="1">
      <alignment horizontal="center" vertical="center" wrapText="1"/>
    </xf>
    <xf numFmtId="43" fontId="5" fillId="2" borderId="1" xfId="20" applyNumberFormat="1" applyFont="1" applyFill="1" applyBorder="1" applyAlignment="1">
      <alignment horizontal="center" vertical="center"/>
    </xf>
    <xf numFmtId="43" fontId="5" fillId="2" borderId="1" xfId="20" applyNumberFormat="1" applyFont="1" applyFill="1" applyBorder="1"/>
    <xf numFmtId="43" fontId="5" fillId="2" borderId="1" xfId="20" applyNumberFormat="1" applyFont="1" applyFill="1" applyBorder="1" applyAlignment="1">
      <alignment vertical="center"/>
    </xf>
    <xf numFmtId="43" fontId="0" fillId="0" borderId="1" xfId="20" applyNumberFormat="1" applyFont="1" applyBorder="1" applyAlignment="1" applyProtection="1">
      <alignment horizontal="left" vertical="center" wrapText="1"/>
      <protection/>
    </xf>
    <xf numFmtId="43" fontId="0" fillId="2" borderId="1" xfId="20" applyNumberFormat="1" applyFont="1" applyFill="1" applyBorder="1" applyAlignment="1" applyProtection="1">
      <alignment horizontal="center" vertical="center" wrapText="1"/>
      <protection/>
    </xf>
    <xf numFmtId="43" fontId="5" fillId="0" borderId="1" xfId="20" applyNumberFormat="1" applyFont="1" applyBorder="1" applyAlignment="1" applyProtection="1">
      <alignment horizontal="left" vertical="center" wrapText="1"/>
      <protection/>
    </xf>
    <xf numFmtId="43" fontId="5" fillId="2" borderId="1" xfId="20" applyNumberFormat="1" applyFont="1" applyFill="1" applyBorder="1" applyAlignment="1" applyProtection="1">
      <alignment horizontal="center" vertical="center" wrapText="1"/>
      <protection/>
    </xf>
    <xf numFmtId="43" fontId="0" fillId="0" borderId="4" xfId="20" applyNumberFormat="1" applyFont="1" applyBorder="1" applyAlignment="1" applyProtection="1">
      <alignment horizontal="center" vertical="center" wrapText="1"/>
      <protection/>
    </xf>
    <xf numFmtId="43" fontId="5" fillId="0" borderId="4" xfId="20" applyNumberFormat="1" applyFont="1" applyBorder="1" applyAlignment="1" applyProtection="1">
      <alignment horizontal="center" vertical="center" wrapText="1"/>
      <protection/>
    </xf>
    <xf numFmtId="164" fontId="0" fillId="0" borderId="0" xfId="0" applyNumberFormat="1"/>
    <xf numFmtId="43" fontId="0" fillId="3" borderId="4" xfId="20" applyNumberFormat="1" applyFont="1" applyFill="1" applyBorder="1" applyAlignment="1" applyProtection="1">
      <alignment horizontal="center" vertical="center" wrapText="1"/>
      <protection/>
    </xf>
    <xf numFmtId="43" fontId="0" fillId="4" borderId="4" xfId="20" applyNumberFormat="1" applyFont="1" applyFill="1" applyBorder="1" applyAlignment="1" applyProtection="1">
      <alignment horizontal="center" vertical="center" wrapText="1"/>
      <protection locked="0"/>
    </xf>
    <xf numFmtId="43" fontId="0" fillId="0" borderId="4" xfId="20" applyNumberFormat="1" applyFont="1" applyBorder="1" applyAlignment="1">
      <alignment horizontal="center" vertical="center" wrapText="1"/>
    </xf>
    <xf numFmtId="43" fontId="5" fillId="3" borderId="2" xfId="20" applyNumberFormat="1" applyFont="1" applyFill="1" applyBorder="1" applyAlignment="1" applyProtection="1">
      <alignment horizontal="center" vertical="center" wrapText="1"/>
      <protection/>
    </xf>
    <xf numFmtId="43" fontId="0" fillId="3" borderId="2" xfId="20" applyNumberFormat="1" applyFont="1" applyFill="1" applyBorder="1" applyAlignment="1" applyProtection="1">
      <alignment horizontal="center" vertical="center" wrapText="1"/>
      <protection/>
    </xf>
    <xf numFmtId="43" fontId="0" fillId="0" borderId="2" xfId="20" applyNumberFormat="1" applyFont="1" applyBorder="1" applyAlignment="1">
      <alignment horizontal="center" vertical="center" wrapText="1"/>
    </xf>
    <xf numFmtId="43" fontId="0" fillId="4" borderId="2" xfId="20" applyNumberFormat="1" applyFont="1" applyFill="1" applyBorder="1" applyAlignment="1" applyProtection="1">
      <alignment horizontal="center" vertical="center" wrapText="1"/>
      <protection locked="0"/>
    </xf>
    <xf numFmtId="43" fontId="5" fillId="4" borderId="2" xfId="20" applyNumberFormat="1" applyFont="1" applyFill="1" applyBorder="1" applyAlignment="1" applyProtection="1">
      <alignment horizontal="center" vertical="center" wrapText="1"/>
      <protection locked="0"/>
    </xf>
    <xf numFmtId="43" fontId="0" fillId="0" borderId="2" xfId="20" applyNumberFormat="1" applyFont="1" applyFill="1" applyBorder="1" applyAlignment="1">
      <alignment horizontal="center" vertical="center" wrapText="1"/>
    </xf>
    <xf numFmtId="43" fontId="5" fillId="3" borderId="4" xfId="20" applyNumberFormat="1" applyFont="1" applyFill="1" applyBorder="1" applyAlignment="1" applyProtection="1">
      <alignment horizontal="center" vertical="center" wrapText="1"/>
      <protection/>
    </xf>
    <xf numFmtId="43" fontId="5" fillId="3" borderId="4" xfId="20" applyNumberFormat="1" applyFont="1" applyFill="1" applyBorder="1" applyAlignment="1">
      <alignment horizontal="center" vertical="center" wrapText="1"/>
    </xf>
    <xf numFmtId="43" fontId="5" fillId="3" borderId="2" xfId="20" applyNumberFormat="1" applyFont="1" applyFill="1" applyBorder="1" applyAlignment="1">
      <alignment horizontal="center" vertical="center" wrapText="1"/>
    </xf>
    <xf numFmtId="43" fontId="0" fillId="2" borderId="1" xfId="20" applyNumberFormat="1" applyFont="1" applyFill="1" applyBorder="1" applyAlignment="1">
      <alignment horizontal="center" vertical="center"/>
    </xf>
    <xf numFmtId="43" fontId="0" fillId="2" borderId="1" xfId="20" applyNumberFormat="1" applyFont="1" applyFill="1" applyBorder="1" applyAlignment="1">
      <alignment vertical="center"/>
    </xf>
    <xf numFmtId="0" fontId="17" fillId="5" borderId="0" xfId="0" applyFont="1" applyFill="1" applyAlignment="1" applyProtection="1">
      <alignment horizont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 applyProtection="1">
      <alignment horizontal="left" vertical="center" wrapText="1"/>
      <protection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15" fillId="0" borderId="1" xfId="0" applyFont="1" applyBorder="1" applyAlignment="1" applyProtection="1">
      <alignment horizontal="center" vertical="center" wrapText="1"/>
      <protection/>
    </xf>
    <xf numFmtId="0" fontId="19" fillId="0" borderId="1" xfId="0" applyFont="1" applyBorder="1" applyAlignment="1" applyProtection="1">
      <alignment horizontal="center" vertical="center" wrapText="1"/>
      <protection/>
    </xf>
    <xf numFmtId="2" fontId="6" fillId="0" borderId="1" xfId="0" applyNumberFormat="1" applyFont="1" applyBorder="1" applyAlignment="1" applyProtection="1">
      <alignment horizontal="center" vertical="center" wrapText="1"/>
      <protection/>
    </xf>
    <xf numFmtId="43" fontId="26" fillId="4" borderId="4" xfId="20" applyNumberFormat="1" applyFont="1" applyFill="1" applyBorder="1" applyAlignment="1" applyProtection="1">
      <alignment horizontal="center" vertical="center" wrapText="1"/>
      <protection locked="0"/>
    </xf>
    <xf numFmtId="43" fontId="26" fillId="3" borderId="4" xfId="20" applyNumberFormat="1" applyFont="1" applyFill="1" applyBorder="1" applyAlignment="1" applyProtection="1">
      <alignment horizontal="center" vertical="center" wrapText="1"/>
      <protection/>
    </xf>
    <xf numFmtId="43" fontId="0" fillId="6" borderId="4" xfId="20" applyNumberFormat="1" applyFont="1" applyFill="1" applyBorder="1" applyAlignment="1" applyProtection="1">
      <alignment horizontal="center" vertical="center" wrapText="1"/>
      <protection/>
    </xf>
    <xf numFmtId="43" fontId="0" fillId="2" borderId="0" xfId="0" applyNumberFormat="1" applyFont="1" applyFill="1"/>
    <xf numFmtId="43" fontId="0" fillId="7" borderId="4" xfId="20" applyNumberFormat="1" applyFont="1" applyFill="1" applyBorder="1" applyAlignment="1" applyProtection="1">
      <alignment horizontal="center" vertical="center" wrapText="1"/>
      <protection/>
    </xf>
    <xf numFmtId="43" fontId="0" fillId="4" borderId="4" xfId="20" applyNumberFormat="1" applyFont="1" applyFill="1" applyBorder="1" applyAlignment="1" applyProtection="1">
      <alignment horizontal="center" vertical="center" wrapText="1"/>
      <protection/>
    </xf>
    <xf numFmtId="43" fontId="0" fillId="0" borderId="2" xfId="20" applyNumberFormat="1" applyFont="1" applyBorder="1" applyAlignment="1" applyProtection="1">
      <alignment horizontal="center" vertical="center" wrapText="1"/>
      <protection/>
    </xf>
    <xf numFmtId="43" fontId="0" fillId="4" borderId="2" xfId="20" applyNumberFormat="1" applyFont="1" applyFill="1" applyBorder="1" applyAlignment="1" applyProtection="1">
      <alignment horizontal="center" vertical="center" wrapText="1"/>
      <protection/>
    </xf>
    <xf numFmtId="43" fontId="5" fillId="4" borderId="2" xfId="20" applyNumberFormat="1" applyFont="1" applyFill="1" applyBorder="1" applyAlignment="1" applyProtection="1">
      <alignment horizontal="center" vertical="center" wrapText="1"/>
      <protection/>
    </xf>
    <xf numFmtId="43" fontId="0" fillId="0" borderId="2" xfId="20" applyNumberFormat="1" applyFont="1" applyFill="1" applyBorder="1" applyAlignment="1" applyProtection="1">
      <alignment horizontal="center" vertical="center" wrapText="1"/>
      <protection/>
    </xf>
    <xf numFmtId="0" fontId="0" fillId="5" borderId="0" xfId="0" applyFill="1"/>
    <xf numFmtId="43" fontId="0" fillId="5" borderId="7" xfId="20" applyNumberFormat="1" applyFont="1" applyFill="1" applyBorder="1" applyAlignment="1" applyProtection="1">
      <alignment horizontal="center" vertical="center" wrapText="1"/>
      <protection locked="0"/>
    </xf>
    <xf numFmtId="43" fontId="0" fillId="0" borderId="0" xfId="0" applyNumberFormat="1"/>
    <xf numFmtId="43" fontId="5" fillId="4" borderId="4" xfId="20" applyNumberFormat="1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 applyProtection="1">
      <alignment horizontal="left" vertical="center" wrapText="1"/>
      <protection/>
    </xf>
    <xf numFmtId="0" fontId="29" fillId="0" borderId="1" xfId="0" applyFont="1" applyBorder="1" applyAlignment="1" applyProtection="1">
      <alignment horizontal="left" vertical="center" wrapText="1"/>
      <protection/>
    </xf>
    <xf numFmtId="0" fontId="30" fillId="0" borderId="1" xfId="0" applyFont="1" applyBorder="1" applyAlignment="1" applyProtection="1">
      <alignment horizontal="left" vertical="center" wrapText="1"/>
      <protection/>
    </xf>
    <xf numFmtId="43" fontId="31" fillId="0" borderId="1" xfId="20" applyNumberFormat="1" applyFont="1" applyBorder="1" applyAlignment="1" applyProtection="1">
      <alignment horizontal="left" vertical="center" wrapText="1"/>
      <protection/>
    </xf>
    <xf numFmtId="43" fontId="31" fillId="2" borderId="1" xfId="20" applyNumberFormat="1" applyFont="1" applyFill="1" applyBorder="1" applyAlignment="1" applyProtection="1">
      <alignment horizontal="center" vertical="center" wrapText="1"/>
      <protection/>
    </xf>
    <xf numFmtId="43" fontId="6" fillId="2" borderId="1" xfId="20" applyNumberFormat="1" applyFont="1" applyFill="1" applyBorder="1" applyAlignment="1" applyProtection="1">
      <alignment horizontal="center" vertical="center" wrapText="1"/>
      <protection/>
    </xf>
    <xf numFmtId="43" fontId="6" fillId="0" borderId="1" xfId="20" applyNumberFormat="1" applyFont="1" applyBorder="1" applyAlignment="1" applyProtection="1">
      <alignment horizontal="left" vertical="center" wrapText="1"/>
      <protection/>
    </xf>
    <xf numFmtId="43" fontId="15" fillId="0" borderId="1" xfId="20" applyNumberFormat="1" applyFont="1" applyBorder="1" applyAlignment="1" applyProtection="1">
      <alignment horizontal="left" vertical="center" wrapText="1"/>
      <protection/>
    </xf>
    <xf numFmtId="43" fontId="15" fillId="2" borderId="1" xfId="20" applyNumberFormat="1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 horizontal="center" vertical="center" wrapText="1"/>
    </xf>
    <xf numFmtId="164" fontId="0" fillId="6" borderId="4" xfId="20" applyNumberFormat="1" applyFont="1" applyFill="1" applyBorder="1" applyAlignment="1" applyProtection="1">
      <alignment horizontal="center" vertical="center" wrapText="1"/>
      <protection/>
    </xf>
    <xf numFmtId="0" fontId="33" fillId="0" borderId="0" xfId="22" applyFont="1" applyAlignment="1">
      <alignment vertical="center"/>
      <protection/>
    </xf>
    <xf numFmtId="0" fontId="33" fillId="0" borderId="0" xfId="22" applyFont="1">
      <alignment/>
      <protection/>
    </xf>
    <xf numFmtId="0" fontId="33" fillId="0" borderId="0" xfId="22" applyFont="1" applyAlignment="1">
      <alignment horizontal="right"/>
      <protection/>
    </xf>
    <xf numFmtId="0" fontId="34" fillId="0" borderId="0" xfId="22" applyFont="1" applyAlignment="1">
      <alignment vertical="center" wrapText="1"/>
      <protection/>
    </xf>
    <xf numFmtId="0" fontId="33" fillId="0" borderId="0" xfId="22" applyFont="1" applyBorder="1" applyAlignment="1">
      <alignment vertical="center"/>
      <protection/>
    </xf>
    <xf numFmtId="0" fontId="35" fillId="0" borderId="0" xfId="22" applyFont="1" applyBorder="1" applyAlignment="1">
      <alignment vertical="top"/>
      <protection/>
    </xf>
    <xf numFmtId="0" fontId="33" fillId="0" borderId="0" xfId="22" applyFont="1" applyAlignment="1">
      <alignment horizontal="center" vertical="center" wrapText="1"/>
      <protection/>
    </xf>
    <xf numFmtId="49" fontId="6" fillId="2" borderId="8" xfId="22" applyNumberFormat="1" applyFont="1" applyFill="1" applyBorder="1" applyAlignment="1">
      <alignment horizontal="center" vertical="center" wrapText="1"/>
      <protection/>
    </xf>
    <xf numFmtId="0" fontId="32" fillId="0" borderId="9" xfId="22" applyFont="1" applyBorder="1" applyAlignment="1">
      <alignment horizontal="center" vertical="center" wrapText="1"/>
      <protection/>
    </xf>
    <xf numFmtId="0" fontId="32" fillId="0" borderId="10" xfId="22" applyFont="1" applyBorder="1" applyAlignment="1">
      <alignment horizontal="center" vertical="center" wrapText="1"/>
      <protection/>
    </xf>
    <xf numFmtId="0" fontId="32" fillId="0" borderId="11" xfId="22" applyFont="1" applyBorder="1" applyAlignment="1">
      <alignment horizontal="center" vertical="center" wrapText="1"/>
      <protection/>
    </xf>
    <xf numFmtId="0" fontId="32" fillId="0" borderId="12" xfId="22" applyFont="1" applyBorder="1" applyAlignment="1">
      <alignment horizontal="center" vertical="center" wrapText="1"/>
      <protection/>
    </xf>
    <xf numFmtId="0" fontId="18" fillId="0" borderId="13" xfId="22" applyFont="1" applyBorder="1" applyAlignment="1" applyProtection="1">
      <alignment horizontal="left" vertical="center" wrapText="1"/>
      <protection/>
    </xf>
    <xf numFmtId="0" fontId="18" fillId="0" borderId="14" xfId="22" applyFont="1" applyBorder="1" applyAlignment="1">
      <alignment horizontal="center" vertical="center" wrapText="1"/>
      <protection/>
    </xf>
    <xf numFmtId="43" fontId="38" fillId="8" borderId="13" xfId="22" applyNumberFormat="1" applyFont="1" applyFill="1" applyBorder="1" applyAlignment="1" applyProtection="1">
      <alignment horizontal="right" vertical="center"/>
      <protection/>
    </xf>
    <xf numFmtId="43" fontId="25" fillId="0" borderId="3" xfId="22" applyNumberFormat="1" applyFont="1" applyBorder="1" applyAlignment="1" applyProtection="1">
      <alignment horizontal="right" vertical="center"/>
      <protection locked="0"/>
    </xf>
    <xf numFmtId="43" fontId="25" fillId="0" borderId="15" xfId="22" applyNumberFormat="1" applyFont="1" applyBorder="1" applyAlignment="1" applyProtection="1">
      <alignment horizontal="right" vertical="center"/>
      <protection locked="0"/>
    </xf>
    <xf numFmtId="43" fontId="38" fillId="8" borderId="16" xfId="22" applyNumberFormat="1" applyFont="1" applyFill="1" applyBorder="1" applyAlignment="1" applyProtection="1">
      <alignment horizontal="right" vertical="center"/>
      <protection/>
    </xf>
    <xf numFmtId="0" fontId="38" fillId="8" borderId="13" xfId="22" applyNumberFormat="1" applyFont="1" applyFill="1" applyBorder="1" applyAlignment="1" applyProtection="1">
      <alignment horizontal="center" vertical="center"/>
      <protection/>
    </xf>
    <xf numFmtId="0" fontId="25" fillId="8" borderId="3" xfId="22" applyNumberFormat="1" applyFont="1" applyFill="1" applyBorder="1" applyAlignment="1" applyProtection="1">
      <alignment horizontal="center" vertical="center"/>
      <protection/>
    </xf>
    <xf numFmtId="0" fontId="25" fillId="8" borderId="14" xfId="22" applyNumberFormat="1" applyFont="1" applyFill="1" applyBorder="1" applyAlignment="1" applyProtection="1">
      <alignment horizontal="center" vertical="center"/>
      <protection/>
    </xf>
    <xf numFmtId="0" fontId="25" fillId="0" borderId="17" xfId="22" applyFont="1" applyBorder="1" applyProtection="1">
      <alignment/>
      <protection locked="0"/>
    </xf>
    <xf numFmtId="0" fontId="18" fillId="0" borderId="18" xfId="22" applyFont="1" applyBorder="1" applyAlignment="1" applyProtection="1">
      <alignment horizontal="left" vertical="center" wrapText="1"/>
      <protection/>
    </xf>
    <xf numFmtId="0" fontId="18" fillId="0" borderId="19" xfId="22" applyFont="1" applyBorder="1" applyAlignment="1">
      <alignment horizontal="center" vertical="center" wrapText="1"/>
      <protection/>
    </xf>
    <xf numFmtId="43" fontId="38" fillId="8" borderId="18" xfId="22" applyNumberFormat="1" applyFont="1" applyFill="1" applyBorder="1" applyAlignment="1" applyProtection="1">
      <alignment horizontal="right" vertical="center"/>
      <protection/>
    </xf>
    <xf numFmtId="43" fontId="38" fillId="8" borderId="1" xfId="22" applyNumberFormat="1" applyFont="1" applyFill="1" applyBorder="1" applyAlignment="1" applyProtection="1">
      <alignment horizontal="right" vertical="center"/>
      <protection/>
    </xf>
    <xf numFmtId="43" fontId="38" fillId="8" borderId="5" xfId="22" applyNumberFormat="1" applyFont="1" applyFill="1" applyBorder="1" applyAlignment="1" applyProtection="1">
      <alignment horizontal="right" vertical="center"/>
      <protection/>
    </xf>
    <xf numFmtId="43" fontId="38" fillId="8" borderId="19" xfId="22" applyNumberFormat="1" applyFont="1" applyFill="1" applyBorder="1" applyAlignment="1" applyProtection="1">
      <alignment horizontal="right" vertical="center"/>
      <protection/>
    </xf>
    <xf numFmtId="0" fontId="38" fillId="8" borderId="18" xfId="22" applyNumberFormat="1" applyFont="1" applyFill="1" applyBorder="1" applyAlignment="1" applyProtection="1">
      <alignment horizontal="center" vertical="center"/>
      <protection/>
    </xf>
    <xf numFmtId="0" fontId="38" fillId="8" borderId="1" xfId="22" applyNumberFormat="1" applyFont="1" applyFill="1" applyBorder="1" applyAlignment="1" applyProtection="1">
      <alignment horizontal="center" vertical="center"/>
      <protection/>
    </xf>
    <xf numFmtId="0" fontId="25" fillId="0" borderId="20" xfId="22" applyFont="1" applyBorder="1" applyAlignment="1" applyProtection="1">
      <alignment wrapText="1"/>
      <protection locked="0"/>
    </xf>
    <xf numFmtId="0" fontId="19" fillId="0" borderId="18" xfId="22" applyFont="1" applyBorder="1" applyAlignment="1" applyProtection="1">
      <alignment horizontal="left" vertical="center" wrapText="1"/>
      <protection/>
    </xf>
    <xf numFmtId="43" fontId="25" fillId="8" borderId="1" xfId="22" applyNumberFormat="1" applyFont="1" applyFill="1" applyBorder="1" applyAlignment="1" applyProtection="1">
      <alignment horizontal="right" vertical="center"/>
      <protection/>
    </xf>
    <xf numFmtId="43" fontId="25" fillId="8" borderId="5" xfId="22" applyNumberFormat="1" applyFont="1" applyFill="1" applyBorder="1" applyAlignment="1" applyProtection="1">
      <alignment horizontal="right" vertical="center"/>
      <protection/>
    </xf>
    <xf numFmtId="43" fontId="25" fillId="8" borderId="19" xfId="22" applyNumberFormat="1" applyFont="1" applyFill="1" applyBorder="1" applyAlignment="1" applyProtection="1">
      <alignment horizontal="right" vertical="center"/>
      <protection/>
    </xf>
    <xf numFmtId="0" fontId="25" fillId="8" borderId="1" xfId="22" applyNumberFormat="1" applyFont="1" applyFill="1" applyBorder="1" applyAlignment="1" applyProtection="1">
      <alignment horizontal="center" vertical="center"/>
      <protection/>
    </xf>
    <xf numFmtId="0" fontId="25" fillId="8" borderId="19" xfId="22" applyNumberFormat="1" applyFont="1" applyFill="1" applyBorder="1" applyAlignment="1" applyProtection="1">
      <alignment horizontal="center" vertical="center"/>
      <protection/>
    </xf>
    <xf numFmtId="0" fontId="25" fillId="0" borderId="20" xfId="22" applyFont="1" applyBorder="1" applyProtection="1">
      <alignment/>
      <protection locked="0"/>
    </xf>
    <xf numFmtId="43" fontId="25" fillId="8" borderId="1" xfId="22" applyNumberFormat="1" applyFont="1" applyFill="1" applyBorder="1" applyAlignment="1" applyProtection="1">
      <alignment horizontal="right" vertical="center"/>
      <protection locked="0"/>
    </xf>
    <xf numFmtId="43" fontId="25" fillId="8" borderId="5" xfId="22" applyNumberFormat="1" applyFont="1" applyFill="1" applyBorder="1" applyAlignment="1" applyProtection="1">
      <alignment horizontal="right" vertical="center"/>
      <protection locked="0"/>
    </xf>
    <xf numFmtId="43" fontId="25" fillId="8" borderId="19" xfId="22" applyNumberFormat="1" applyFont="1" applyFill="1" applyBorder="1" applyAlignment="1" applyProtection="1">
      <alignment horizontal="right" vertical="center"/>
      <protection locked="0"/>
    </xf>
    <xf numFmtId="0" fontId="30" fillId="0" borderId="18" xfId="22" applyFont="1" applyBorder="1" applyAlignment="1" applyProtection="1">
      <alignment horizontal="left" vertical="center" wrapText="1"/>
      <protection/>
    </xf>
    <xf numFmtId="0" fontId="30" fillId="0" borderId="19" xfId="22" applyFont="1" applyBorder="1" applyAlignment="1">
      <alignment horizontal="center" vertical="center" wrapText="1"/>
      <protection/>
    </xf>
    <xf numFmtId="43" fontId="25" fillId="0" borderId="1" xfId="22" applyNumberFormat="1" applyFont="1" applyBorder="1" applyAlignment="1" applyProtection="1">
      <alignment horizontal="right" vertical="center"/>
      <protection locked="0"/>
    </xf>
    <xf numFmtId="43" fontId="25" fillId="0" borderId="5" xfId="22" applyNumberFormat="1" applyFont="1" applyBorder="1" applyAlignment="1" applyProtection="1">
      <alignment horizontal="right" vertical="center"/>
      <protection locked="0"/>
    </xf>
    <xf numFmtId="164" fontId="38" fillId="8" borderId="1" xfId="22" applyNumberFormat="1" applyFont="1" applyFill="1" applyBorder="1" applyAlignment="1" applyProtection="1">
      <alignment horizontal="right" vertical="center"/>
      <protection/>
    </xf>
    <xf numFmtId="164" fontId="25" fillId="0" borderId="1" xfId="22" applyNumberFormat="1" applyFont="1" applyBorder="1" applyAlignment="1" applyProtection="1">
      <alignment horizontal="right" vertical="center"/>
      <protection locked="0"/>
    </xf>
    <xf numFmtId="164" fontId="38" fillId="8" borderId="18" xfId="22" applyNumberFormat="1" applyFont="1" applyFill="1" applyBorder="1" applyAlignment="1" applyProtection="1">
      <alignment horizontal="right" vertical="center"/>
      <protection/>
    </xf>
    <xf numFmtId="164" fontId="38" fillId="8" borderId="5" xfId="22" applyNumberFormat="1" applyFont="1" applyFill="1" applyBorder="1" applyAlignment="1" applyProtection="1">
      <alignment horizontal="right" vertical="center"/>
      <protection/>
    </xf>
    <xf numFmtId="164" fontId="25" fillId="0" borderId="5" xfId="22" applyNumberFormat="1" applyFont="1" applyBorder="1" applyAlignment="1" applyProtection="1">
      <alignment horizontal="right" vertical="center"/>
      <protection locked="0"/>
    </xf>
    <xf numFmtId="43" fontId="38" fillId="0" borderId="1" xfId="22" applyNumberFormat="1" applyFont="1" applyBorder="1" applyAlignment="1" applyProtection="1">
      <alignment horizontal="right" vertical="center"/>
      <protection locked="0"/>
    </xf>
    <xf numFmtId="43" fontId="38" fillId="0" borderId="5" xfId="22" applyNumberFormat="1" applyFont="1" applyBorder="1" applyAlignment="1" applyProtection="1">
      <alignment horizontal="right" vertical="center"/>
      <protection locked="0"/>
    </xf>
    <xf numFmtId="0" fontId="18" fillId="0" borderId="21" xfId="22" applyFont="1" applyBorder="1" applyAlignment="1" applyProtection="1">
      <alignment horizontal="left" vertical="center" wrapText="1"/>
      <protection/>
    </xf>
    <xf numFmtId="0" fontId="18" fillId="0" borderId="22" xfId="22" applyFont="1" applyBorder="1" applyAlignment="1">
      <alignment horizontal="center" vertical="center" wrapText="1"/>
      <protection/>
    </xf>
    <xf numFmtId="43" fontId="38" fillId="8" borderId="21" xfId="22" applyNumberFormat="1" applyFont="1" applyFill="1" applyBorder="1" applyAlignment="1" applyProtection="1">
      <alignment horizontal="right" vertical="center"/>
      <protection/>
    </xf>
    <xf numFmtId="43" fontId="25" fillId="0" borderId="23" xfId="22" applyNumberFormat="1" applyFont="1" applyBorder="1" applyAlignment="1" applyProtection="1">
      <alignment horizontal="right" vertical="center"/>
      <protection locked="0"/>
    </xf>
    <xf numFmtId="43" fontId="25" fillId="0" borderId="24" xfId="22" applyNumberFormat="1" applyFont="1" applyBorder="1" applyAlignment="1" applyProtection="1">
      <alignment horizontal="right" vertical="center"/>
      <protection locked="0"/>
    </xf>
    <xf numFmtId="43" fontId="38" fillId="8" borderId="25" xfId="22" applyNumberFormat="1" applyFont="1" applyFill="1" applyBorder="1" applyAlignment="1" applyProtection="1">
      <alignment horizontal="right" vertical="center"/>
      <protection/>
    </xf>
    <xf numFmtId="43" fontId="25" fillId="0" borderId="8" xfId="22" applyNumberFormat="1" applyFont="1" applyBorder="1" applyAlignment="1" applyProtection="1">
      <alignment horizontal="right" vertical="center"/>
      <protection locked="0"/>
    </xf>
    <xf numFmtId="0" fontId="25" fillId="0" borderId="26" xfId="22" applyFont="1" applyBorder="1" applyProtection="1">
      <alignment/>
      <protection locked="0"/>
    </xf>
    <xf numFmtId="0" fontId="30" fillId="8" borderId="16" xfId="22" applyFont="1" applyFill="1" applyBorder="1" applyAlignment="1" applyProtection="1">
      <alignment horizontal="left" vertical="center" wrapText="1"/>
      <protection/>
    </xf>
    <xf numFmtId="0" fontId="30" fillId="8" borderId="27" xfId="22" applyFont="1" applyFill="1" applyBorder="1" applyAlignment="1" applyProtection="1">
      <alignment horizontal="center" vertical="center" wrapText="1"/>
      <protection locked="0"/>
    </xf>
    <xf numFmtId="43" fontId="38" fillId="8" borderId="27" xfId="22" applyNumberFormat="1" applyFont="1" applyFill="1" applyBorder="1" applyAlignment="1" applyProtection="1">
      <alignment horizontal="right" vertical="center"/>
      <protection/>
    </xf>
    <xf numFmtId="0" fontId="38" fillId="8" borderId="27" xfId="22" applyNumberFormat="1" applyFont="1" applyFill="1" applyBorder="1" applyAlignment="1" applyProtection="1">
      <alignment horizontal="center" vertical="center"/>
      <protection/>
    </xf>
    <xf numFmtId="0" fontId="25" fillId="0" borderId="28" xfId="22" applyFont="1" applyBorder="1" applyProtection="1">
      <alignment/>
      <protection locked="0"/>
    </xf>
    <xf numFmtId="0" fontId="30" fillId="8" borderId="18" xfId="22" applyFont="1" applyFill="1" applyBorder="1" applyAlignment="1" applyProtection="1">
      <alignment horizontal="left" vertical="center" wrapText="1"/>
      <protection/>
    </xf>
    <xf numFmtId="0" fontId="30" fillId="8" borderId="1" xfId="22" applyFont="1" applyFill="1" applyBorder="1" applyAlignment="1" applyProtection="1">
      <alignment horizontal="center" vertical="center" wrapText="1"/>
      <protection locked="0"/>
    </xf>
    <xf numFmtId="43" fontId="38" fillId="8" borderId="1" xfId="22" applyNumberFormat="1" applyFont="1" applyFill="1" applyBorder="1" applyAlignment="1" applyProtection="1">
      <alignment horizontal="right" vertical="center"/>
      <protection locked="0"/>
    </xf>
    <xf numFmtId="0" fontId="38" fillId="0" borderId="1" xfId="22" applyNumberFormat="1" applyFont="1" applyBorder="1" applyAlignment="1" applyProtection="1">
      <alignment horizontal="center" vertical="center"/>
      <protection locked="0"/>
    </xf>
    <xf numFmtId="164" fontId="25" fillId="0" borderId="1" xfId="22" applyNumberFormat="1" applyFont="1" applyBorder="1" applyAlignment="1" applyProtection="1">
      <alignment horizontal="center" vertical="center"/>
      <protection locked="0"/>
    </xf>
    <xf numFmtId="0" fontId="25" fillId="0" borderId="1" xfId="22" applyNumberFormat="1" applyFont="1" applyBorder="1" applyAlignment="1" applyProtection="1">
      <alignment horizontal="center" vertical="center"/>
      <protection locked="0"/>
    </xf>
    <xf numFmtId="0" fontId="25" fillId="0" borderId="19" xfId="22" applyFont="1" applyBorder="1" applyProtection="1">
      <alignment/>
      <protection locked="0"/>
    </xf>
    <xf numFmtId="0" fontId="30" fillId="8" borderId="25" xfId="22" applyFont="1" applyFill="1" applyBorder="1" applyAlignment="1" applyProtection="1">
      <alignment horizontal="left" vertical="center" wrapText="1"/>
      <protection/>
    </xf>
    <xf numFmtId="0" fontId="30" fillId="8" borderId="8" xfId="22" applyFont="1" applyFill="1" applyBorder="1" applyAlignment="1" applyProtection="1">
      <alignment horizontal="center" vertical="center" wrapText="1"/>
      <protection locked="0"/>
    </xf>
    <xf numFmtId="43" fontId="38" fillId="8" borderId="8" xfId="22" applyNumberFormat="1" applyFont="1" applyFill="1" applyBorder="1" applyAlignment="1" applyProtection="1">
      <alignment horizontal="right" vertical="center"/>
      <protection locked="0"/>
    </xf>
    <xf numFmtId="0" fontId="38" fillId="0" borderId="8" xfId="22" applyNumberFormat="1" applyFont="1" applyBorder="1" applyAlignment="1" applyProtection="1">
      <alignment horizontal="center" vertical="center"/>
      <protection locked="0"/>
    </xf>
    <xf numFmtId="0" fontId="25" fillId="0" borderId="8" xfId="22" applyNumberFormat="1" applyFont="1" applyBorder="1" applyAlignment="1" applyProtection="1">
      <alignment horizontal="center" vertical="center"/>
      <protection locked="0"/>
    </xf>
    <xf numFmtId="0" fontId="25" fillId="0" borderId="29" xfId="22" applyFont="1" applyBorder="1" applyProtection="1">
      <alignment/>
      <protection locked="0"/>
    </xf>
    <xf numFmtId="0" fontId="18" fillId="0" borderId="0" xfId="22" applyFont="1" applyBorder="1" applyAlignment="1">
      <alignment horizontal="left" vertical="center" wrapText="1"/>
      <protection/>
    </xf>
    <xf numFmtId="0" fontId="18" fillId="0" borderId="0" xfId="22" applyFont="1" applyBorder="1" applyAlignment="1">
      <alignment horizontal="center" vertical="center" wrapText="1"/>
      <protection/>
    </xf>
    <xf numFmtId="0" fontId="25" fillId="0" borderId="0" xfId="22" applyFont="1" applyBorder="1">
      <alignment/>
      <protection/>
    </xf>
    <xf numFmtId="0" fontId="25" fillId="0" borderId="0" xfId="22" applyFont="1" applyBorder="1" applyProtection="1">
      <alignment/>
      <protection locked="0"/>
    </xf>
    <xf numFmtId="0" fontId="25" fillId="0" borderId="0" xfId="22" applyFont="1" applyBorder="1" applyProtection="1">
      <alignment/>
      <protection/>
    </xf>
    <xf numFmtId="0" fontId="33" fillId="0" borderId="0" xfId="22" applyFont="1" applyAlignment="1">
      <alignment/>
      <protection/>
    </xf>
    <xf numFmtId="0" fontId="33" fillId="0" borderId="0" xfId="22" applyFont="1" applyFill="1" applyAlignment="1">
      <alignment vertical="center"/>
      <protection/>
    </xf>
    <xf numFmtId="0" fontId="33" fillId="0" borderId="0" xfId="22" applyFont="1" applyFill="1">
      <alignment/>
      <protection/>
    </xf>
    <xf numFmtId="0" fontId="33" fillId="0" borderId="0" xfId="22" applyFont="1" applyFill="1" applyAlignment="1" applyProtection="1">
      <alignment vertical="center"/>
      <protection locked="0"/>
    </xf>
    <xf numFmtId="0" fontId="33" fillId="0" borderId="0" xfId="22" applyFont="1" applyFill="1" applyProtection="1">
      <alignment/>
      <protection locked="0"/>
    </xf>
    <xf numFmtId="0" fontId="33" fillId="0" borderId="0" xfId="22" applyFont="1" applyProtection="1">
      <alignment/>
      <protection locked="0"/>
    </xf>
    <xf numFmtId="0" fontId="33" fillId="0" borderId="0" xfId="22" applyFont="1" applyAlignment="1" applyProtection="1">
      <alignment vertical="center"/>
      <protection locked="0"/>
    </xf>
    <xf numFmtId="0" fontId="12" fillId="0" borderId="0" xfId="22" applyFont="1" applyAlignment="1" applyProtection="1">
      <alignment horizontal="left" vertical="center"/>
      <protection locked="0"/>
    </xf>
    <xf numFmtId="0" fontId="8" fillId="0" borderId="0" xfId="22" applyFont="1" applyProtection="1">
      <alignment/>
      <protection locked="0"/>
    </xf>
    <xf numFmtId="0" fontId="39" fillId="0" borderId="0" xfId="22" applyFont="1" applyProtection="1">
      <alignment/>
      <protection locked="0"/>
    </xf>
    <xf numFmtId="0" fontId="12" fillId="0" borderId="0" xfId="22" applyFont="1" applyFill="1" applyAlignment="1" applyProtection="1">
      <alignment horizontal="right" vertical="center"/>
      <protection locked="0"/>
    </xf>
    <xf numFmtId="0" fontId="8" fillId="0" borderId="0" xfId="22" applyFont="1" applyFill="1" applyAlignment="1" applyProtection="1">
      <alignment/>
      <protection locked="0"/>
    </xf>
    <xf numFmtId="0" fontId="39" fillId="0" borderId="0" xfId="22" applyFont="1" applyFill="1" applyProtection="1">
      <alignment/>
      <protection locked="0"/>
    </xf>
    <xf numFmtId="0" fontId="12" fillId="0" borderId="0" xfId="22" applyFont="1" applyFill="1" applyAlignment="1" applyProtection="1">
      <alignment horizontal="left" vertical="center"/>
      <protection locked="0"/>
    </xf>
    <xf numFmtId="0" fontId="0" fillId="0" borderId="0" xfId="22" applyFont="1" applyFill="1" applyAlignment="1" applyProtection="1">
      <alignment vertical="center"/>
      <protection locked="0"/>
    </xf>
    <xf numFmtId="0" fontId="0" fillId="0" borderId="0" xfId="22" applyFont="1" applyFill="1" applyAlignment="1" applyProtection="1">
      <alignment horizontal="center"/>
      <protection locked="0"/>
    </xf>
    <xf numFmtId="0" fontId="2" fillId="0" borderId="0" xfId="22" applyFill="1" applyProtection="1">
      <alignment/>
      <protection locked="0"/>
    </xf>
    <xf numFmtId="0" fontId="2" fillId="0" borderId="0" xfId="22" applyProtection="1">
      <alignment/>
      <protection locked="0"/>
    </xf>
    <xf numFmtId="0" fontId="10" fillId="0" borderId="0" xfId="22" applyFont="1" applyFill="1" applyAlignment="1" applyProtection="1">
      <alignment vertical="center"/>
      <protection locked="0"/>
    </xf>
    <xf numFmtId="0" fontId="33" fillId="0" borderId="0" xfId="22" applyFont="1" applyAlignment="1">
      <alignment horizontal="left" vertical="center"/>
      <protection/>
    </xf>
    <xf numFmtId="0" fontId="33" fillId="0" borderId="0" xfId="22" applyFont="1" applyAlignment="1">
      <alignment horizontal="left"/>
      <protection/>
    </xf>
    <xf numFmtId="43" fontId="25" fillId="8" borderId="27" xfId="22" applyNumberFormat="1" applyFont="1" applyFill="1" applyBorder="1" applyAlignment="1" applyProtection="1">
      <alignment horizontal="right" vertical="center"/>
      <protection/>
    </xf>
    <xf numFmtId="43" fontId="25" fillId="8" borderId="15" xfId="22" applyNumberFormat="1" applyFont="1" applyFill="1" applyBorder="1" applyAlignment="1" applyProtection="1">
      <alignment horizontal="right" vertical="center"/>
      <protection/>
    </xf>
    <xf numFmtId="0" fontId="35" fillId="0" borderId="0" xfId="22" applyFont="1" applyAlignment="1" applyProtection="1">
      <alignment vertical="center"/>
      <protection locked="0"/>
    </xf>
    <xf numFmtId="0" fontId="20" fillId="2" borderId="1" xfId="0" applyFont="1" applyFill="1" applyBorder="1" applyAlignment="1" applyProtection="1">
      <alignment horizontal="center" vertical="center" wrapText="1"/>
      <protection/>
    </xf>
    <xf numFmtId="0" fontId="6" fillId="2" borderId="8" xfId="22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43" fontId="0" fillId="5" borderId="0" xfId="20" applyNumberFormat="1" applyFont="1" applyFill="1" applyBorder="1" applyAlignment="1" applyProtection="1">
      <alignment horizontal="center" vertical="center" wrapText="1"/>
      <protection locked="0"/>
    </xf>
    <xf numFmtId="43" fontId="0" fillId="4" borderId="2" xfId="20" applyNumberFormat="1" applyFont="1" applyFill="1" applyBorder="1" applyAlignment="1" applyProtection="1">
      <alignment horizontal="center" vertical="center" wrapText="1"/>
      <protection locked="0"/>
    </xf>
    <xf numFmtId="0" fontId="25" fillId="0" borderId="20" xfId="22" applyFont="1" applyBorder="1" applyAlignment="1" applyProtection="1">
      <alignment vertical="justify"/>
      <protection locked="0"/>
    </xf>
    <xf numFmtId="0" fontId="25" fillId="0" borderId="20" xfId="22" applyFont="1" applyBorder="1" applyAlignment="1" applyProtection="1">
      <alignment vertical="justify" wrapText="1"/>
      <protection locked="0"/>
    </xf>
    <xf numFmtId="43" fontId="0" fillId="0" borderId="2" xfId="2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/>
    </xf>
    <xf numFmtId="0" fontId="0" fillId="0" borderId="0" xfId="0" applyFont="1" applyProtection="1">
      <protection locked="0"/>
    </xf>
    <xf numFmtId="0" fontId="0" fillId="0" borderId="0" xfId="0" applyFont="1" applyBorder="1"/>
    <xf numFmtId="0" fontId="0" fillId="2" borderId="0" xfId="0" applyFont="1" applyFill="1"/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43" fontId="0" fillId="6" borderId="4" xfId="20" applyNumberFormat="1" applyFont="1" applyFill="1" applyBorder="1" applyAlignment="1" applyProtection="1">
      <alignment horizontal="center" vertical="center" wrapText="1"/>
      <protection/>
    </xf>
    <xf numFmtId="43" fontId="0" fillId="3" borderId="4" xfId="2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ont="1" applyBorder="1" applyAlignment="1">
      <alignment horizontal="left" vertical="center" wrapText="1"/>
    </xf>
    <xf numFmtId="43" fontId="0" fillId="3" borderId="2" xfId="20" applyNumberFormat="1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left" vertical="center" wrapText="1"/>
    </xf>
    <xf numFmtId="43" fontId="42" fillId="0" borderId="1" xfId="22" applyNumberFormat="1" applyFont="1" applyBorder="1" applyAlignment="1" applyProtection="1">
      <alignment horizontal="right" vertical="center"/>
      <protection locked="0"/>
    </xf>
    <xf numFmtId="0" fontId="25" fillId="0" borderId="0" xfId="22" applyFont="1" applyAlignment="1" applyProtection="1">
      <alignment horizontal="right"/>
      <protection locked="0"/>
    </xf>
    <xf numFmtId="43" fontId="43" fillId="0" borderId="1" xfId="22" applyNumberFormat="1" applyFont="1" applyBorder="1" applyAlignment="1" applyProtection="1">
      <alignment horizontal="right" vertical="center"/>
      <protection locked="0"/>
    </xf>
    <xf numFmtId="43" fontId="44" fillId="4" borderId="2" xfId="20" applyNumberFormat="1" applyFont="1" applyFill="1" applyBorder="1" applyAlignment="1" applyProtection="1">
      <alignment horizontal="center" vertical="center" wrapText="1"/>
      <protection locked="0"/>
    </xf>
    <xf numFmtId="43" fontId="45" fillId="4" borderId="2" xfId="2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/>
    </xf>
    <xf numFmtId="164" fontId="6" fillId="2" borderId="1" xfId="20" applyNumberFormat="1" applyFont="1" applyFill="1" applyBorder="1" applyAlignment="1" applyProtection="1">
      <alignment horizontal="center" vertical="center"/>
      <protection/>
    </xf>
    <xf numFmtId="164" fontId="15" fillId="2" borderId="1" xfId="20" applyNumberFormat="1" applyFont="1" applyFill="1" applyBorder="1" applyAlignment="1" applyProtection="1">
      <alignment horizontal="center" vertical="center" wrapText="1"/>
      <protection/>
    </xf>
    <xf numFmtId="164" fontId="0" fillId="2" borderId="1" xfId="20" applyNumberFormat="1" applyFont="1" applyFill="1" applyBorder="1" applyAlignment="1" applyProtection="1">
      <alignment horizontal="center" vertical="center"/>
      <protection/>
    </xf>
    <xf numFmtId="164" fontId="0" fillId="2" borderId="1" xfId="20" applyNumberFormat="1" applyFont="1" applyFill="1" applyBorder="1" applyAlignment="1" applyProtection="1">
      <alignment horizontal="center" vertical="center" wrapText="1"/>
      <protection/>
    </xf>
    <xf numFmtId="164" fontId="5" fillId="2" borderId="1" xfId="20" applyNumberFormat="1" applyFont="1" applyFill="1" applyBorder="1" applyAlignment="1" applyProtection="1">
      <alignment horizontal="center" vertical="center"/>
      <protection/>
    </xf>
    <xf numFmtId="43" fontId="46" fillId="4" borderId="2" xfId="2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justify"/>
    </xf>
    <xf numFmtId="0" fontId="32" fillId="0" borderId="31" xfId="22" applyFont="1" applyBorder="1" applyAlignment="1">
      <alignment horizontal="left" vertical="justify"/>
      <protection/>
    </xf>
    <xf numFmtId="0" fontId="6" fillId="9" borderId="2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9" borderId="2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justify"/>
    </xf>
    <xf numFmtId="0" fontId="0" fillId="0" borderId="6" xfId="0" applyBorder="1" applyAlignment="1">
      <alignment horizontal="left"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31" xfId="0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right"/>
    </xf>
    <xf numFmtId="0" fontId="25" fillId="5" borderId="0" xfId="0" applyFont="1" applyFill="1" applyAlignment="1">
      <alignment horizontal="right"/>
    </xf>
    <xf numFmtId="0" fontId="4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43" fontId="8" fillId="0" borderId="1" xfId="2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4" fillId="0" borderId="6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horizontal="center" vertical="top"/>
    </xf>
    <xf numFmtId="0" fontId="8" fillId="2" borderId="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35" fillId="0" borderId="0" xfId="22" applyFont="1" applyBorder="1" applyAlignment="1" applyProtection="1">
      <alignment horizontal="center" vertical="top"/>
      <protection locked="0"/>
    </xf>
    <xf numFmtId="0" fontId="35" fillId="0" borderId="0" xfId="22" applyFont="1" applyBorder="1" applyAlignment="1">
      <alignment horizontal="center" vertical="top"/>
      <protection/>
    </xf>
    <xf numFmtId="0" fontId="25" fillId="0" borderId="0" xfId="22" applyFont="1" applyAlignment="1" applyProtection="1">
      <alignment horizontal="right"/>
      <protection locked="0"/>
    </xf>
    <xf numFmtId="0" fontId="34" fillId="0" borderId="0" xfId="22" applyFont="1" applyAlignment="1">
      <alignment horizontal="center" vertical="center" wrapText="1"/>
      <protection/>
    </xf>
    <xf numFmtId="0" fontId="33" fillId="0" borderId="0" xfId="22" applyFont="1" applyBorder="1" applyAlignment="1" applyProtection="1">
      <alignment horizontal="center" vertical="center"/>
      <protection locked="0"/>
    </xf>
    <xf numFmtId="0" fontId="33" fillId="0" borderId="32" xfId="22" applyFont="1" applyBorder="1" applyAlignment="1">
      <alignment horizontal="center" vertical="center" wrapText="1"/>
      <protection/>
    </xf>
    <xf numFmtId="0" fontId="33" fillId="0" borderId="33" xfId="22" applyFont="1" applyBorder="1" applyAlignment="1">
      <alignment horizontal="center" vertical="center" wrapText="1"/>
      <protection/>
    </xf>
    <xf numFmtId="0" fontId="33" fillId="0" borderId="34" xfId="22" applyFont="1" applyBorder="1" applyAlignment="1">
      <alignment horizontal="center" vertical="center" wrapText="1"/>
      <protection/>
    </xf>
    <xf numFmtId="0" fontId="6" fillId="0" borderId="18" xfId="22" applyFont="1" applyBorder="1" applyAlignment="1" applyProtection="1">
      <alignment horizontal="center" vertical="center" wrapText="1"/>
      <protection locked="0"/>
    </xf>
    <xf numFmtId="0" fontId="6" fillId="0" borderId="25" xfId="22" applyFont="1" applyBorder="1" applyAlignment="1" applyProtection="1">
      <alignment horizontal="center" vertical="center" wrapText="1"/>
      <protection locked="0"/>
    </xf>
    <xf numFmtId="49" fontId="6" fillId="2" borderId="5" xfId="22" applyNumberFormat="1" applyFont="1" applyFill="1" applyBorder="1" applyAlignment="1">
      <alignment horizontal="center" vertical="center" wrapText="1"/>
      <protection/>
    </xf>
    <xf numFmtId="49" fontId="6" fillId="2" borderId="2" xfId="22" applyNumberFormat="1" applyFont="1" applyFill="1" applyBorder="1" applyAlignment="1">
      <alignment horizontal="center" vertical="center" wrapText="1"/>
      <protection/>
    </xf>
    <xf numFmtId="49" fontId="6" fillId="2" borderId="23" xfId="22" applyNumberFormat="1" applyFont="1" applyFill="1" applyBorder="1" applyAlignment="1">
      <alignment horizontal="center" vertical="center" wrapText="1"/>
      <protection/>
    </xf>
    <xf numFmtId="49" fontId="6" fillId="2" borderId="35" xfId="22" applyNumberFormat="1" applyFont="1" applyFill="1" applyBorder="1" applyAlignment="1">
      <alignment horizontal="center" vertical="center" wrapText="1"/>
      <protection/>
    </xf>
    <xf numFmtId="49" fontId="6" fillId="2" borderId="22" xfId="22" applyNumberFormat="1" applyFont="1" applyFill="1" applyBorder="1" applyAlignment="1">
      <alignment horizontal="center" vertical="center" wrapText="1"/>
      <protection/>
    </xf>
    <xf numFmtId="49" fontId="6" fillId="2" borderId="36" xfId="22" applyNumberFormat="1" applyFont="1" applyFill="1" applyBorder="1" applyAlignment="1">
      <alignment horizontal="center" vertical="center" wrapText="1"/>
      <protection/>
    </xf>
    <xf numFmtId="0" fontId="33" fillId="0" borderId="37" xfId="22" applyFont="1" applyBorder="1" applyAlignment="1">
      <alignment horizontal="center" vertical="center" wrapText="1"/>
      <protection/>
    </xf>
    <xf numFmtId="0" fontId="33" fillId="0" borderId="38" xfId="22" applyFont="1" applyBorder="1" applyAlignment="1">
      <alignment horizontal="center" vertical="center" wrapText="1"/>
      <protection/>
    </xf>
    <xf numFmtId="0" fontId="33" fillId="0" borderId="39" xfId="22" applyFont="1" applyBorder="1" applyAlignment="1">
      <alignment horizontal="center" vertical="center" wrapText="1"/>
      <protection/>
    </xf>
    <xf numFmtId="0" fontId="33" fillId="0" borderId="0" xfId="22" applyFont="1" applyAlignment="1">
      <alignment horizontal="center" wrapText="1"/>
      <protection/>
    </xf>
    <xf numFmtId="0" fontId="33" fillId="0" borderId="40" xfId="22" applyFont="1" applyBorder="1" applyAlignment="1">
      <alignment horizontal="center" vertical="center" wrapText="1"/>
      <protection/>
    </xf>
    <xf numFmtId="0" fontId="33" fillId="0" borderId="41" xfId="22" applyFont="1" applyBorder="1" applyAlignment="1">
      <alignment horizontal="center" vertical="center" wrapText="1"/>
      <protection/>
    </xf>
    <xf numFmtId="0" fontId="33" fillId="0" borderId="42" xfId="22" applyFont="1" applyBorder="1" applyAlignment="1">
      <alignment horizontal="center" vertical="center" wrapText="1"/>
      <protection/>
    </xf>
    <xf numFmtId="0" fontId="33" fillId="0" borderId="43" xfId="22" applyFont="1" applyBorder="1" applyAlignment="1">
      <alignment horizontal="center" vertical="center" wrapText="1"/>
      <protection/>
    </xf>
    <xf numFmtId="0" fontId="33" fillId="0" borderId="44" xfId="22" applyFont="1" applyBorder="1" applyAlignment="1">
      <alignment horizontal="center" vertical="center" wrapText="1"/>
      <protection/>
    </xf>
    <xf numFmtId="0" fontId="33" fillId="0" borderId="36" xfId="22" applyFont="1" applyBorder="1" applyAlignment="1">
      <alignment horizontal="center" vertical="center" wrapText="1"/>
      <protection/>
    </xf>
    <xf numFmtId="0" fontId="21" fillId="0" borderId="37" xfId="22" applyFont="1" applyBorder="1" applyAlignment="1" applyProtection="1">
      <alignment horizontal="center" vertical="center" wrapText="1"/>
      <protection locked="0"/>
    </xf>
    <xf numFmtId="0" fontId="33" fillId="0" borderId="38" xfId="22" applyFont="1" applyBorder="1" applyAlignment="1" applyProtection="1">
      <alignment horizontal="center" vertical="center" wrapText="1"/>
      <protection locked="0"/>
    </xf>
    <xf numFmtId="0" fontId="33" fillId="0" borderId="39" xfId="22" applyFont="1" applyBorder="1" applyAlignment="1" applyProtection="1">
      <alignment horizontal="center" vertical="center" wrapText="1"/>
      <protection locked="0"/>
    </xf>
    <xf numFmtId="0" fontId="18" fillId="0" borderId="37" xfId="22" applyFont="1" applyBorder="1" applyAlignment="1" applyProtection="1">
      <alignment horizontal="center" vertical="center" wrapText="1"/>
      <protection locked="0"/>
    </xf>
    <xf numFmtId="0" fontId="18" fillId="0" borderId="38" xfId="22" applyFont="1" applyBorder="1" applyAlignment="1" applyProtection="1">
      <alignment horizontal="center" vertical="center" wrapText="1"/>
      <protection locked="0"/>
    </xf>
    <xf numFmtId="0" fontId="18" fillId="0" borderId="39" xfId="22" applyFont="1" applyBorder="1" applyAlignment="1" applyProtection="1">
      <alignment horizontal="center" vertical="center" wrapText="1"/>
      <protection locked="0"/>
    </xf>
    <xf numFmtId="0" fontId="0" fillId="2" borderId="0" xfId="0" applyFont="1" applyFill="1" applyAlignment="1" applyProtection="1">
      <alignment horizontal="right"/>
      <protection/>
    </xf>
    <xf numFmtId="0" fontId="0" fillId="2" borderId="0" xfId="0" applyFont="1" applyFill="1" applyAlignment="1" applyProtection="1">
      <alignment horizontal="right"/>
      <protection/>
    </xf>
    <xf numFmtId="49" fontId="6" fillId="2" borderId="5" xfId="0" applyNumberFormat="1" applyFont="1" applyFill="1" applyBorder="1" applyAlignment="1" applyProtection="1">
      <alignment horizontal="center" vertical="center" wrapText="1"/>
      <protection/>
    </xf>
    <xf numFmtId="49" fontId="6" fillId="2" borderId="2" xfId="0" applyNumberFormat="1" applyFont="1" applyFill="1" applyBorder="1" applyAlignment="1" applyProtection="1">
      <alignment horizontal="center" vertical="center" wrapText="1"/>
      <protection/>
    </xf>
    <xf numFmtId="49" fontId="8" fillId="2" borderId="23" xfId="0" applyNumberFormat="1" applyFont="1" applyFill="1" applyBorder="1" applyAlignment="1" applyProtection="1">
      <alignment horizontal="center" vertical="center" wrapText="1"/>
      <protection/>
    </xf>
    <xf numFmtId="49" fontId="8" fillId="2" borderId="3" xfId="0" applyNumberFormat="1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top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23" fillId="5" borderId="0" xfId="0" applyFont="1" applyFill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6" xfId="0" applyFont="1" applyBorder="1" applyAlignment="1" applyProtection="1">
      <alignment horizontal="center" wrapText="1"/>
      <protection locked="0"/>
    </xf>
    <xf numFmtId="0" fontId="12" fillId="2" borderId="0" xfId="0" applyFont="1" applyFill="1" applyAlignment="1" applyProtection="1">
      <alignment horizontal="center" vertical="center" wrapText="1"/>
      <protection/>
    </xf>
    <xf numFmtId="0" fontId="11" fillId="2" borderId="0" xfId="0" applyFont="1" applyFill="1" applyAlignment="1" applyProtection="1">
      <alignment horizontal="center" vertical="center" wrapText="1"/>
      <protection/>
    </xf>
    <xf numFmtId="0" fontId="10" fillId="0" borderId="6" xfId="0" applyFont="1" applyFill="1" applyBorder="1" applyAlignment="1" applyProtection="1">
      <alignment horizontal="center"/>
      <protection locked="0"/>
    </xf>
    <xf numFmtId="0" fontId="1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15" fillId="2" borderId="6" xfId="0" applyFont="1" applyFill="1" applyBorder="1" applyAlignment="1" applyProtection="1">
      <alignment horizontal="center" vertical="center" wrapText="1"/>
      <protection/>
    </xf>
    <xf numFmtId="0" fontId="11" fillId="2" borderId="0" xfId="0" applyFont="1" applyFill="1" applyBorder="1" applyAlignment="1" applyProtection="1">
      <alignment horizontal="center" vertical="center" wrapText="1"/>
      <protection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2" borderId="2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2" borderId="2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1" fillId="5" borderId="0" xfId="0" applyFont="1" applyFill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27" fillId="2" borderId="6" xfId="0" applyFont="1" applyFill="1" applyBorder="1" applyAlignment="1">
      <alignment horizontal="center" vertical="center" wrapText="1"/>
    </xf>
    <xf numFmtId="0" fontId="22" fillId="5" borderId="0" xfId="0" applyFont="1" applyFill="1" applyAlignment="1" applyProtection="1">
      <alignment horizontal="right"/>
      <protection locked="0"/>
    </xf>
    <xf numFmtId="49" fontId="0" fillId="0" borderId="5" xfId="0" applyNumberFormat="1" applyBorder="1" applyAlignment="1" applyProtection="1">
      <alignment horizontal="left" vertical="center" wrapText="1"/>
      <protection/>
    </xf>
    <xf numFmtId="49" fontId="0" fillId="0" borderId="30" xfId="0" applyNumberFormat="1" applyBorder="1" applyAlignment="1" applyProtection="1">
      <alignment horizontal="left" vertical="center" wrapText="1"/>
      <protection/>
    </xf>
    <xf numFmtId="49" fontId="0" fillId="0" borderId="2" xfId="0" applyNumberFormat="1" applyBorder="1" applyAlignment="1" applyProtection="1">
      <alignment horizontal="left" vertical="center" wrapText="1"/>
      <protection/>
    </xf>
    <xf numFmtId="49" fontId="0" fillId="2" borderId="5" xfId="0" applyNumberFormat="1" applyFill="1" applyBorder="1" applyAlignment="1" applyProtection="1">
      <alignment horizontal="left" vertical="center" wrapText="1"/>
      <protection/>
    </xf>
    <xf numFmtId="49" fontId="0" fillId="2" borderId="30" xfId="0" applyNumberFormat="1" applyFill="1" applyBorder="1" applyAlignment="1" applyProtection="1">
      <alignment horizontal="left" vertical="center" wrapText="1"/>
      <protection/>
    </xf>
    <xf numFmtId="49" fontId="0" fillId="2" borderId="2" xfId="0" applyNumberFormat="1" applyFill="1" applyBorder="1" applyAlignment="1" applyProtection="1">
      <alignment horizontal="left" vertical="center" wrapText="1"/>
      <protection/>
    </xf>
    <xf numFmtId="0" fontId="0" fillId="2" borderId="5" xfId="0" applyFill="1" applyBorder="1" applyAlignment="1" applyProtection="1">
      <alignment horizontal="left" vertical="center" wrapText="1"/>
      <protection/>
    </xf>
    <xf numFmtId="0" fontId="0" fillId="2" borderId="30" xfId="0" applyFill="1" applyBorder="1" applyAlignment="1" applyProtection="1">
      <alignment horizontal="left" vertical="center" wrapText="1"/>
      <protection/>
    </xf>
    <xf numFmtId="0" fontId="0" fillId="2" borderId="2" xfId="0" applyFill="1" applyBorder="1" applyAlignment="1" applyProtection="1">
      <alignment horizontal="left" vertical="center" wrapText="1"/>
      <protection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wrapText="1"/>
      <protection locked="0"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Обычный 2" xfId="21"/>
    <cellStyle name="Обычный 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49"/>
  <sheetViews>
    <sheetView view="pageBreakPreview" zoomScale="60" zoomScalePageLayoutView="70" workbookViewId="0" topLeftCell="B36">
      <selection activeCell="B45" sqref="B45:Y45"/>
    </sheetView>
  </sheetViews>
  <sheetFormatPr defaultColWidth="9.00390625" defaultRowHeight="12.75"/>
  <cols>
    <col min="21" max="21" width="12.625" style="0" customWidth="1"/>
    <col min="23" max="23" width="5.00390625" style="0" customWidth="1"/>
  </cols>
  <sheetData>
    <row r="1" spans="21:25" ht="14.25">
      <c r="U1" s="341" t="s">
        <v>134</v>
      </c>
      <c r="V1" s="341"/>
      <c r="W1" s="341"/>
      <c r="X1" s="341"/>
      <c r="Y1" s="341"/>
    </row>
    <row r="2" spans="21:25" ht="14.25">
      <c r="U2" s="342"/>
      <c r="V2" s="342"/>
      <c r="W2" s="342"/>
      <c r="X2" s="342"/>
      <c r="Y2" s="342"/>
    </row>
    <row r="3" spans="21:25" ht="14.25">
      <c r="U3" s="342"/>
      <c r="V3" s="342"/>
      <c r="W3" s="342"/>
      <c r="X3" s="342"/>
      <c r="Y3" s="342"/>
    </row>
    <row r="5" spans="2:25" ht="12.75" customHeight="1">
      <c r="B5" s="332"/>
      <c r="C5" s="332"/>
      <c r="D5" s="332"/>
      <c r="E5" s="332"/>
      <c r="U5" s="348" t="s">
        <v>8</v>
      </c>
      <c r="V5" s="348"/>
      <c r="W5" s="348"/>
      <c r="X5" s="348"/>
      <c r="Y5" s="348"/>
    </row>
    <row r="6" spans="2:25" ht="27" customHeight="1">
      <c r="B6" s="332"/>
      <c r="C6" s="332"/>
      <c r="D6" s="332"/>
      <c r="E6" s="332"/>
      <c r="U6" s="336" t="s">
        <v>229</v>
      </c>
      <c r="V6" s="336"/>
      <c r="W6" s="336"/>
      <c r="X6" s="336"/>
      <c r="Y6" s="336"/>
    </row>
    <row r="7" spans="2:25" ht="15.6" customHeight="1">
      <c r="B7" s="95"/>
      <c r="C7" s="95"/>
      <c r="D7" s="95"/>
      <c r="E7" s="95"/>
      <c r="U7" s="330" t="s">
        <v>26</v>
      </c>
      <c r="V7" s="330"/>
      <c r="W7" s="330"/>
      <c r="X7" s="330"/>
      <c r="Y7" s="330"/>
    </row>
    <row r="8" spans="2:25" ht="15.6" customHeight="1">
      <c r="B8" s="95"/>
      <c r="C8" s="95"/>
      <c r="D8" s="95"/>
      <c r="E8" s="95"/>
      <c r="U8" s="339"/>
      <c r="V8" s="339"/>
      <c r="W8" s="97"/>
      <c r="X8" s="334" t="s">
        <v>227</v>
      </c>
      <c r="Y8" s="334"/>
    </row>
    <row r="9" spans="2:25" ht="14.25">
      <c r="B9" s="332"/>
      <c r="C9" s="332"/>
      <c r="D9" s="332"/>
      <c r="E9" s="332"/>
      <c r="U9" s="330" t="s">
        <v>0</v>
      </c>
      <c r="V9" s="333"/>
      <c r="X9" s="349" t="s">
        <v>1</v>
      </c>
      <c r="Y9" s="349"/>
    </row>
    <row r="10" spans="21:25" ht="12.75" customHeight="1">
      <c r="U10" s="160" t="s">
        <v>171</v>
      </c>
      <c r="V10" s="346" t="s">
        <v>194</v>
      </c>
      <c r="W10" s="347"/>
      <c r="X10" s="347"/>
      <c r="Y10" s="347"/>
    </row>
    <row r="11" spans="21:25" ht="12.75">
      <c r="U11" s="95"/>
      <c r="V11" s="95"/>
      <c r="W11" s="1"/>
      <c r="X11" s="1"/>
      <c r="Y11" s="1"/>
    </row>
    <row r="12" spans="2:25" ht="12.75">
      <c r="B12" s="345" t="s">
        <v>2</v>
      </c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5"/>
    </row>
    <row r="13" spans="2:25" ht="12.75" customHeight="1">
      <c r="B13" s="331" t="s">
        <v>3</v>
      </c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</row>
    <row r="14" spans="2:25" ht="18.6" customHeight="1">
      <c r="B14" s="331" t="s">
        <v>195</v>
      </c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</row>
    <row r="15" spans="2:25" ht="14.25"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</row>
    <row r="16" spans="2:25" ht="12.75" customHeight="1">
      <c r="B16" s="344" t="s">
        <v>217</v>
      </c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344"/>
    </row>
    <row r="17" spans="2:25" ht="14.25">
      <c r="B17" s="343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4"/>
    </row>
    <row r="18" spans="2:25" ht="25.9" customHeight="1"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40"/>
      <c r="T18" s="340"/>
      <c r="U18" s="340"/>
      <c r="V18" s="340"/>
      <c r="W18" s="3"/>
      <c r="X18" s="336" t="s">
        <v>27</v>
      </c>
      <c r="Y18" s="336"/>
    </row>
    <row r="19" spans="2:25" ht="21" customHeight="1">
      <c r="B19" s="329" t="s">
        <v>218</v>
      </c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"/>
      <c r="X19" s="326"/>
      <c r="Y19" s="326"/>
    </row>
    <row r="20" spans="2:25" ht="18.6" customHeight="1">
      <c r="B20" s="327" t="s">
        <v>82</v>
      </c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8"/>
      <c r="T20" s="328"/>
      <c r="U20" s="328"/>
      <c r="V20" s="328"/>
      <c r="W20" s="3"/>
      <c r="X20" s="326"/>
      <c r="Y20" s="326"/>
    </row>
    <row r="21" spans="2:25" ht="18" customHeight="1">
      <c r="B21" s="324"/>
      <c r="C21" s="324"/>
      <c r="D21" s="324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"/>
      <c r="X21" s="326"/>
      <c r="Y21" s="326"/>
    </row>
    <row r="22" spans="2:25" ht="16.15" customHeight="1">
      <c r="B22" s="335" t="s">
        <v>85</v>
      </c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96"/>
      <c r="T22" s="3"/>
      <c r="U22" s="3"/>
      <c r="V22" s="3" t="s">
        <v>28</v>
      </c>
      <c r="W22" s="3"/>
      <c r="X22" s="337">
        <v>383</v>
      </c>
      <c r="Y22" s="338"/>
    </row>
    <row r="23" spans="2:25" ht="18" customHeight="1">
      <c r="B23" s="329" t="s">
        <v>219</v>
      </c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"/>
      <c r="X23" s="326"/>
      <c r="Y23" s="326"/>
    </row>
    <row r="24" spans="1:25" ht="18" customHeight="1">
      <c r="A24" s="2"/>
      <c r="B24" s="327" t="s">
        <v>83</v>
      </c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8"/>
      <c r="T24" s="328"/>
      <c r="U24" s="328"/>
      <c r="V24" s="328"/>
      <c r="W24" s="3"/>
      <c r="X24" s="326"/>
      <c r="Y24" s="326"/>
    </row>
    <row r="25" spans="1:25" s="1" customFormat="1" ht="16.15" customHeight="1">
      <c r="A25" s="4"/>
      <c r="B25" s="329" t="s">
        <v>220</v>
      </c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"/>
      <c r="X25" s="326"/>
      <c r="Y25" s="326"/>
    </row>
    <row r="26" spans="1:25" ht="14.45" customHeight="1">
      <c r="A26" s="2"/>
      <c r="B26" s="330" t="s">
        <v>84</v>
      </c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"/>
      <c r="X26" s="3"/>
      <c r="Y26" s="3"/>
    </row>
    <row r="27" spans="1:25" ht="11.45" customHeight="1">
      <c r="A27" s="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96"/>
      <c r="T27" s="3"/>
      <c r="U27" s="3"/>
      <c r="V27" s="3"/>
      <c r="W27" s="3"/>
      <c r="X27" s="3"/>
      <c r="Y27" s="3"/>
    </row>
    <row r="28" spans="1:25" ht="22.9" customHeight="1">
      <c r="A28" s="2"/>
      <c r="B28" s="331" t="s">
        <v>107</v>
      </c>
      <c r="C28" s="331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</row>
    <row r="29" spans="2:25" ht="21" customHeight="1">
      <c r="B29" s="307" t="s">
        <v>29</v>
      </c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272"/>
      <c r="T29" s="272"/>
      <c r="U29" s="272"/>
      <c r="V29" s="272"/>
      <c r="W29" s="272"/>
      <c r="X29" s="273"/>
      <c r="Y29" s="273"/>
    </row>
    <row r="30" spans="2:25" ht="33" customHeight="1">
      <c r="B30" s="314" t="s">
        <v>186</v>
      </c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</row>
    <row r="31" spans="2:25" ht="15.6" customHeight="1">
      <c r="B31" s="309" t="s">
        <v>137</v>
      </c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271"/>
      <c r="T31" s="271"/>
      <c r="U31" s="271"/>
      <c r="V31" s="271"/>
      <c r="W31" s="271"/>
      <c r="X31" s="271"/>
      <c r="Y31" s="271"/>
    </row>
    <row r="32" spans="2:25" ht="66" customHeight="1">
      <c r="B32" s="314" t="s">
        <v>187</v>
      </c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</row>
    <row r="33" spans="2:25" ht="15" customHeight="1">
      <c r="B33" s="307" t="s">
        <v>30</v>
      </c>
      <c r="C33" s="307"/>
      <c r="D33" s="307"/>
      <c r="E33" s="307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271"/>
      <c r="T33" s="271"/>
      <c r="U33" s="271"/>
      <c r="V33" s="271"/>
      <c r="W33" s="271"/>
      <c r="X33" s="271"/>
      <c r="Y33" s="271"/>
    </row>
    <row r="34" spans="2:25" ht="72.75" customHeight="1">
      <c r="B34" s="315" t="s">
        <v>188</v>
      </c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</row>
    <row r="35" spans="2:25" ht="121.5" customHeight="1">
      <c r="B35" s="323" t="s">
        <v>189</v>
      </c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</row>
    <row r="36" spans="1:26" ht="25.15" customHeight="1">
      <c r="A36" s="1"/>
      <c r="B36" s="321" t="s">
        <v>221</v>
      </c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12"/>
      <c r="U36" s="312"/>
      <c r="V36" s="312"/>
      <c r="W36" s="312"/>
      <c r="X36" s="312"/>
      <c r="Y36" s="313"/>
      <c r="Z36" s="1"/>
    </row>
    <row r="37" spans="1:26" ht="17.25" customHeight="1">
      <c r="A37" s="1"/>
      <c r="B37" s="320" t="s">
        <v>33</v>
      </c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3"/>
      <c r="Z37" s="1"/>
    </row>
    <row r="38" spans="1:26" ht="15" customHeight="1">
      <c r="A38" s="1"/>
      <c r="B38" s="310" t="s">
        <v>224</v>
      </c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2"/>
      <c r="U38" s="312"/>
      <c r="V38" s="312"/>
      <c r="W38" s="312"/>
      <c r="X38" s="312"/>
      <c r="Y38" s="313"/>
      <c r="Z38" s="1"/>
    </row>
    <row r="39" spans="1:26" ht="19.5" customHeight="1">
      <c r="A39" s="1"/>
      <c r="B39" s="310" t="s">
        <v>191</v>
      </c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2"/>
      <c r="U39" s="312"/>
      <c r="V39" s="312"/>
      <c r="W39" s="312"/>
      <c r="X39" s="312"/>
      <c r="Y39" s="313"/>
      <c r="Z39" s="1"/>
    </row>
    <row r="40" spans="1:26" ht="21.75" customHeight="1">
      <c r="A40" s="1"/>
      <c r="B40" s="310" t="s">
        <v>223</v>
      </c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2"/>
      <c r="U40" s="312"/>
      <c r="V40" s="312"/>
      <c r="W40" s="312"/>
      <c r="X40" s="312"/>
      <c r="Y40" s="313"/>
      <c r="Z40" s="1"/>
    </row>
    <row r="41" spans="1:26" ht="25.15" customHeight="1">
      <c r="A41" s="1"/>
      <c r="B41" s="321" t="s">
        <v>234</v>
      </c>
      <c r="C41" s="322"/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12"/>
      <c r="U41" s="312"/>
      <c r="V41" s="312"/>
      <c r="W41" s="312"/>
      <c r="X41" s="312"/>
      <c r="Y41" s="313"/>
      <c r="Z41" s="1"/>
    </row>
    <row r="42" spans="1:26" ht="25.15" customHeight="1">
      <c r="A42" s="1"/>
      <c r="B42" s="320" t="s">
        <v>33</v>
      </c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3"/>
      <c r="Z42" s="1"/>
    </row>
    <row r="43" spans="1:26" ht="25.15" customHeight="1">
      <c r="A43" s="1"/>
      <c r="B43" s="310" t="s">
        <v>222</v>
      </c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2"/>
      <c r="U43" s="312"/>
      <c r="V43" s="312"/>
      <c r="W43" s="312"/>
      <c r="X43" s="312"/>
      <c r="Y43" s="313"/>
      <c r="Z43" s="1"/>
    </row>
    <row r="44" spans="1:26" ht="25.15" customHeight="1">
      <c r="A44" s="1"/>
      <c r="B44" s="310" t="s">
        <v>192</v>
      </c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2"/>
      <c r="U44" s="312"/>
      <c r="V44" s="312"/>
      <c r="W44" s="312"/>
      <c r="X44" s="312"/>
      <c r="Y44" s="313"/>
      <c r="Z44" s="1"/>
    </row>
    <row r="45" spans="1:26" ht="22.5" customHeight="1">
      <c r="A45" s="1"/>
      <c r="B45" s="316" t="s">
        <v>225</v>
      </c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8"/>
      <c r="U45" s="318"/>
      <c r="V45" s="318"/>
      <c r="W45" s="318"/>
      <c r="X45" s="318"/>
      <c r="Y45" s="319"/>
      <c r="Z45" s="1"/>
    </row>
    <row r="46" spans="1:26" ht="25.15" customHeight="1">
      <c r="A46" s="1"/>
      <c r="B46" s="320" t="s">
        <v>33</v>
      </c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  <c r="X46" s="312"/>
      <c r="Y46" s="313"/>
      <c r="Z46" s="1"/>
    </row>
    <row r="47" spans="1:26" ht="25.15" customHeight="1">
      <c r="A47" s="1"/>
      <c r="B47" s="310" t="s">
        <v>226</v>
      </c>
      <c r="C47" s="311"/>
      <c r="D47" s="311"/>
      <c r="E47" s="311"/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312"/>
      <c r="U47" s="312"/>
      <c r="V47" s="312"/>
      <c r="W47" s="312"/>
      <c r="X47" s="312"/>
      <c r="Y47" s="313"/>
      <c r="Z47" s="1"/>
    </row>
    <row r="48" spans="1:26" ht="25.15" customHeight="1">
      <c r="A48" s="1"/>
      <c r="B48" s="310" t="s">
        <v>172</v>
      </c>
      <c r="C48" s="311"/>
      <c r="D48" s="311"/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  <c r="T48" s="312"/>
      <c r="U48" s="312"/>
      <c r="V48" s="312"/>
      <c r="W48" s="312"/>
      <c r="X48" s="312"/>
      <c r="Y48" s="313"/>
      <c r="Z48" s="1"/>
    </row>
    <row r="49" spans="1:26" ht="25.15" customHeight="1">
      <c r="A49" s="1"/>
      <c r="B49" s="310" t="s">
        <v>193</v>
      </c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2"/>
      <c r="U49" s="312"/>
      <c r="V49" s="312"/>
      <c r="W49" s="312"/>
      <c r="X49" s="312"/>
      <c r="Y49" s="313"/>
      <c r="Z49" s="1"/>
    </row>
  </sheetData>
  <mergeCells count="60">
    <mergeCell ref="U8:V8"/>
    <mergeCell ref="B18:V18"/>
    <mergeCell ref="U1:Y1"/>
    <mergeCell ref="U2:Y2"/>
    <mergeCell ref="U3:Y3"/>
    <mergeCell ref="B17:Y17"/>
    <mergeCell ref="B9:E9"/>
    <mergeCell ref="B16:Y16"/>
    <mergeCell ref="B13:Y13"/>
    <mergeCell ref="B12:Y12"/>
    <mergeCell ref="V10:Y10"/>
    <mergeCell ref="B5:E5"/>
    <mergeCell ref="U5:Y5"/>
    <mergeCell ref="X9:Y9"/>
    <mergeCell ref="B15:Y15"/>
    <mergeCell ref="U6:Y6"/>
    <mergeCell ref="U7:Y7"/>
    <mergeCell ref="B26:V26"/>
    <mergeCell ref="B30:Y30"/>
    <mergeCell ref="B28:Y28"/>
    <mergeCell ref="B6:E6"/>
    <mergeCell ref="B14:Y14"/>
    <mergeCell ref="U9:V9"/>
    <mergeCell ref="X8:Y8"/>
    <mergeCell ref="B22:R22"/>
    <mergeCell ref="X19:Y19"/>
    <mergeCell ref="X18:Y18"/>
    <mergeCell ref="X21:Y21"/>
    <mergeCell ref="X22:Y22"/>
    <mergeCell ref="B19:V19"/>
    <mergeCell ref="B20:V20"/>
    <mergeCell ref="X20:Y20"/>
    <mergeCell ref="B21:V21"/>
    <mergeCell ref="X23:Y23"/>
    <mergeCell ref="X24:Y24"/>
    <mergeCell ref="X25:Y25"/>
    <mergeCell ref="B24:V24"/>
    <mergeCell ref="B23:V23"/>
    <mergeCell ref="B25:V25"/>
    <mergeCell ref="B49:Y49"/>
    <mergeCell ref="B34:Y34"/>
    <mergeCell ref="B44:Y44"/>
    <mergeCell ref="B45:Y45"/>
    <mergeCell ref="B46:Y46"/>
    <mergeCell ref="B47:Y47"/>
    <mergeCell ref="B40:Y40"/>
    <mergeCell ref="B48:Y48"/>
    <mergeCell ref="B39:Y39"/>
    <mergeCell ref="B41:Y41"/>
    <mergeCell ref="B42:Y42"/>
    <mergeCell ref="B36:Y36"/>
    <mergeCell ref="B37:Y37"/>
    <mergeCell ref="B38:Y38"/>
    <mergeCell ref="B35:Y35"/>
    <mergeCell ref="B33:R33"/>
    <mergeCell ref="B31:R31"/>
    <mergeCell ref="H29:R29"/>
    <mergeCell ref="B29:G29"/>
    <mergeCell ref="B43:Y43"/>
    <mergeCell ref="B32:Y32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A64"/>
  <sheetViews>
    <sheetView view="pageBreakPreview" zoomScale="60" workbookViewId="0" topLeftCell="A49">
      <selection activeCell="G2" sqref="G2:J2"/>
    </sheetView>
  </sheetViews>
  <sheetFormatPr defaultColWidth="9.00390625" defaultRowHeight="12.75"/>
  <cols>
    <col min="1" max="1" width="1.25" style="0" customWidth="1"/>
    <col min="2" max="2" width="52.875" style="0" customWidth="1"/>
    <col min="3" max="3" width="11.375" style="0" customWidth="1"/>
    <col min="4" max="6" width="16.00390625" style="0" customWidth="1"/>
    <col min="7" max="7" width="16.75390625" style="0" customWidth="1"/>
    <col min="8" max="8" width="14.875" style="0" customWidth="1"/>
    <col min="9" max="9" width="15.125" style="0" customWidth="1"/>
    <col min="10" max="10" width="14.625" style="0" customWidth="1"/>
  </cols>
  <sheetData>
    <row r="1" spans="5:10" ht="12.75">
      <c r="E1" s="2"/>
      <c r="F1" s="2"/>
      <c r="G1" s="37"/>
      <c r="H1" s="451"/>
      <c r="I1" s="451"/>
      <c r="J1" s="451"/>
    </row>
    <row r="2" spans="5:10" ht="12.75" customHeight="1">
      <c r="E2" s="2"/>
      <c r="F2" s="2"/>
      <c r="G2" s="415" t="str">
        <f>'Касс.пл. ХМАО'!G2:J2</f>
        <v>к протоколу № 2 от 12.03.2015.</v>
      </c>
      <c r="H2" s="415"/>
      <c r="I2" s="415"/>
      <c r="J2" s="415"/>
    </row>
    <row r="3" spans="5:10" ht="12.75">
      <c r="E3" s="2"/>
      <c r="F3" s="2"/>
      <c r="G3" s="37"/>
      <c r="H3" s="409"/>
      <c r="I3" s="409"/>
      <c r="J3" s="409"/>
    </row>
    <row r="4" spans="5:10" ht="13.15" customHeight="1">
      <c r="E4" s="2"/>
      <c r="F4" s="2"/>
      <c r="G4" s="86"/>
      <c r="H4" s="86"/>
      <c r="I4" s="87" t="s">
        <v>8</v>
      </c>
      <c r="J4" s="86"/>
    </row>
    <row r="5" spans="5:10" ht="12.75" customHeight="1">
      <c r="E5" s="2"/>
      <c r="F5" s="2"/>
      <c r="G5" s="410" t="str">
        <f>'Касс. план (50400)'!G5:J5</f>
        <v>Директор АСУСОН ТО "Ишимский геронтологический центр"</v>
      </c>
      <c r="H5" s="410"/>
      <c r="I5" s="410"/>
      <c r="J5" s="410"/>
    </row>
    <row r="6" spans="5:10" ht="11.45" customHeight="1">
      <c r="E6" s="2"/>
      <c r="F6" s="2"/>
      <c r="G6" s="37"/>
      <c r="H6" s="88"/>
      <c r="I6" s="89" t="s">
        <v>113</v>
      </c>
      <c r="J6" s="88"/>
    </row>
    <row r="7" spans="5:10" ht="15.6" customHeight="1">
      <c r="E7" s="2"/>
      <c r="F7" s="2"/>
      <c r="G7" s="413" t="str">
        <f>'Касс. план (50400)'!G7:J7</f>
        <v>Т.И. Сиюткина</v>
      </c>
      <c r="H7" s="413"/>
      <c r="I7" s="413"/>
      <c r="J7" s="413"/>
    </row>
    <row r="8" spans="5:10" ht="10.9" customHeight="1">
      <c r="E8" s="2"/>
      <c r="F8" s="2"/>
      <c r="G8" s="414" t="s">
        <v>136</v>
      </c>
      <c r="H8" s="414"/>
      <c r="I8" s="414"/>
      <c r="J8" s="414"/>
    </row>
    <row r="9" spans="5:10" ht="12.75">
      <c r="E9" s="2"/>
      <c r="F9" s="2"/>
      <c r="G9" s="128" t="s">
        <v>175</v>
      </c>
      <c r="H9" s="92" t="s">
        <v>210</v>
      </c>
      <c r="I9" s="92"/>
      <c r="J9" s="93"/>
    </row>
    <row r="11" spans="2:10" ht="18">
      <c r="B11" s="438" t="s">
        <v>112</v>
      </c>
      <c r="C11" s="438"/>
      <c r="D11" s="438"/>
      <c r="E11" s="438"/>
      <c r="F11" s="438"/>
      <c r="G11" s="438"/>
      <c r="H11" s="438"/>
      <c r="I11" s="438"/>
      <c r="J11" s="438"/>
    </row>
    <row r="12" spans="2:10" ht="32.25" customHeight="1">
      <c r="B12" s="450" t="s">
        <v>183</v>
      </c>
      <c r="C12" s="431"/>
      <c r="D12" s="431"/>
      <c r="E12" s="431"/>
      <c r="F12" s="431"/>
      <c r="G12" s="431"/>
      <c r="H12" s="431"/>
      <c r="I12" s="431"/>
      <c r="J12" s="431"/>
    </row>
    <row r="13" spans="2:10" ht="16.5">
      <c r="B13" s="436" t="s">
        <v>111</v>
      </c>
      <c r="C13" s="436"/>
      <c r="D13" s="436"/>
      <c r="E13" s="436"/>
      <c r="F13" s="436"/>
      <c r="G13" s="436"/>
      <c r="H13" s="436"/>
      <c r="I13" s="436"/>
      <c r="J13" s="436"/>
    </row>
    <row r="14" spans="2:27" ht="12.75" customHeight="1">
      <c r="B14" s="329" t="str">
        <f>'Касс. план Обл. бюдж.'!B14:J14</f>
        <v>Автономное стационарное учреждение социального обслуживания населения Тюменской области "Ишимский геронтологический центр"</v>
      </c>
      <c r="C14" s="329"/>
      <c r="D14" s="329"/>
      <c r="E14" s="329"/>
      <c r="F14" s="329"/>
      <c r="G14" s="329"/>
      <c r="H14" s="329"/>
      <c r="I14" s="329"/>
      <c r="J14" s="329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"/>
      <c r="X14" s="1"/>
      <c r="Y14" s="1"/>
      <c r="Z14" s="1"/>
      <c r="AA14" s="1"/>
    </row>
    <row r="15" spans="2:27" ht="16.5">
      <c r="B15" s="437" t="s">
        <v>4</v>
      </c>
      <c r="C15" s="437"/>
      <c r="D15" s="437"/>
      <c r="E15" s="437"/>
      <c r="F15" s="437"/>
      <c r="G15" s="437"/>
      <c r="H15" s="437"/>
      <c r="I15" s="437"/>
      <c r="J15" s="43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2.75">
      <c r="B16" s="5"/>
      <c r="C16" s="5"/>
      <c r="D16" s="5"/>
      <c r="E16" s="5"/>
      <c r="F16" s="5"/>
      <c r="G16" s="5"/>
      <c r="H16" s="5"/>
      <c r="I16" s="5"/>
      <c r="J16" s="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10" ht="12.75">
      <c r="B17" s="432" t="s">
        <v>11</v>
      </c>
      <c r="C17" s="434" t="s">
        <v>35</v>
      </c>
      <c r="D17" s="419" t="s">
        <v>203</v>
      </c>
      <c r="E17" s="428" t="s">
        <v>98</v>
      </c>
      <c r="F17" s="429"/>
      <c r="G17" s="429"/>
      <c r="H17" s="430"/>
      <c r="I17" s="419" t="s">
        <v>143</v>
      </c>
      <c r="J17" s="419" t="s">
        <v>197</v>
      </c>
    </row>
    <row r="18" spans="2:10" ht="18" customHeight="1">
      <c r="B18" s="433"/>
      <c r="C18" s="435"/>
      <c r="D18" s="420"/>
      <c r="E18" s="131" t="s">
        <v>99</v>
      </c>
      <c r="F18" s="131" t="s">
        <v>100</v>
      </c>
      <c r="G18" s="131" t="s">
        <v>101</v>
      </c>
      <c r="H18" s="131" t="s">
        <v>102</v>
      </c>
      <c r="I18" s="420"/>
      <c r="J18" s="420"/>
    </row>
    <row r="19" spans="2:10" ht="18" customHeight="1">
      <c r="B19" s="12" t="s">
        <v>97</v>
      </c>
      <c r="C19" s="15"/>
      <c r="D19" s="123">
        <f>E19+F19+G19+H19</f>
        <v>0</v>
      </c>
      <c r="E19" s="115"/>
      <c r="F19" s="115"/>
      <c r="G19" s="115"/>
      <c r="H19" s="115"/>
      <c r="I19" s="115"/>
      <c r="J19" s="115"/>
    </row>
    <row r="20" spans="2:10" ht="18" customHeight="1">
      <c r="B20" s="12" t="s">
        <v>106</v>
      </c>
      <c r="C20" s="15"/>
      <c r="D20" s="123">
        <f>E20+F20+G20+H20</f>
        <v>0</v>
      </c>
      <c r="E20" s="123">
        <f aca="true" t="shared" si="0" ref="E20:J20">E22-E19</f>
        <v>0</v>
      </c>
      <c r="F20" s="123">
        <f t="shared" si="0"/>
        <v>0</v>
      </c>
      <c r="G20" s="123">
        <f t="shared" si="0"/>
        <v>0</v>
      </c>
      <c r="H20" s="123">
        <f t="shared" si="0"/>
        <v>0</v>
      </c>
      <c r="I20" s="123">
        <f t="shared" si="0"/>
        <v>0</v>
      </c>
      <c r="J20" s="123">
        <f t="shared" si="0"/>
        <v>0</v>
      </c>
    </row>
    <row r="21" spans="2:10" ht="9.75" customHeight="1">
      <c r="B21" s="12" t="s">
        <v>33</v>
      </c>
      <c r="C21" s="15"/>
      <c r="D21" s="114"/>
      <c r="E21" s="116"/>
      <c r="F21" s="116"/>
      <c r="G21" s="116"/>
      <c r="H21" s="116"/>
      <c r="I21" s="116"/>
      <c r="J21" s="116"/>
    </row>
    <row r="22" spans="2:10" ht="21" customHeight="1">
      <c r="B22" s="12" t="s">
        <v>38</v>
      </c>
      <c r="C22" s="13"/>
      <c r="D22" s="117">
        <f>E22+F22+G22+H22</f>
        <v>0</v>
      </c>
      <c r="E22" s="117">
        <f aca="true" t="shared" si="1" ref="E22:J22">E24+E28+E40+E43+E47+E48+E59</f>
        <v>0</v>
      </c>
      <c r="F22" s="117">
        <f t="shared" si="1"/>
        <v>0</v>
      </c>
      <c r="G22" s="117">
        <f t="shared" si="1"/>
        <v>0</v>
      </c>
      <c r="H22" s="117">
        <f t="shared" si="1"/>
        <v>0</v>
      </c>
      <c r="I22" s="117">
        <f t="shared" si="1"/>
        <v>0</v>
      </c>
      <c r="J22" s="117">
        <f t="shared" si="1"/>
        <v>0</v>
      </c>
    </row>
    <row r="23" spans="2:10" ht="9.75" customHeight="1">
      <c r="B23" s="12" t="s">
        <v>33</v>
      </c>
      <c r="C23" s="13"/>
      <c r="D23" s="118"/>
      <c r="E23" s="119"/>
      <c r="F23" s="119"/>
      <c r="G23" s="119"/>
      <c r="H23" s="119"/>
      <c r="I23" s="119"/>
      <c r="J23" s="119"/>
    </row>
    <row r="24" spans="2:10" ht="27.6" customHeight="1">
      <c r="B24" s="17" t="s">
        <v>105</v>
      </c>
      <c r="C24" s="20">
        <v>210</v>
      </c>
      <c r="D24" s="117">
        <f>E24+F24+G24+H24</f>
        <v>0</v>
      </c>
      <c r="E24" s="117">
        <f aca="true" t="shared" si="2" ref="E24:J24">E25+E26+E27</f>
        <v>0</v>
      </c>
      <c r="F24" s="117">
        <f t="shared" si="2"/>
        <v>0</v>
      </c>
      <c r="G24" s="117">
        <f t="shared" si="2"/>
        <v>0</v>
      </c>
      <c r="H24" s="117">
        <f t="shared" si="2"/>
        <v>0</v>
      </c>
      <c r="I24" s="117">
        <f t="shared" si="2"/>
        <v>0</v>
      </c>
      <c r="J24" s="117">
        <f t="shared" si="2"/>
        <v>0</v>
      </c>
    </row>
    <row r="25" spans="2:10" ht="21" customHeight="1">
      <c r="B25" s="16" t="s">
        <v>39</v>
      </c>
      <c r="C25" s="8" t="s">
        <v>40</v>
      </c>
      <c r="D25" s="118">
        <f>E25+F25+G25+H25</f>
        <v>0</v>
      </c>
      <c r="E25" s="120"/>
      <c r="F25" s="120"/>
      <c r="G25" s="120"/>
      <c r="H25" s="120"/>
      <c r="I25" s="120"/>
      <c r="J25" s="120"/>
    </row>
    <row r="26" spans="2:10" ht="21" customHeight="1">
      <c r="B26" s="16" t="s">
        <v>41</v>
      </c>
      <c r="C26" s="6">
        <v>212</v>
      </c>
      <c r="D26" s="118">
        <f>E26+F26+G26+H26</f>
        <v>0</v>
      </c>
      <c r="E26" s="120"/>
      <c r="F26" s="120"/>
      <c r="G26" s="120"/>
      <c r="H26" s="120"/>
      <c r="I26" s="120"/>
      <c r="J26" s="120"/>
    </row>
    <row r="27" spans="2:10" ht="21" customHeight="1">
      <c r="B27" s="16" t="s">
        <v>42</v>
      </c>
      <c r="C27" s="8" t="s">
        <v>43</v>
      </c>
      <c r="D27" s="118">
        <f>E27+F27+G27+H27</f>
        <v>0</v>
      </c>
      <c r="E27" s="120"/>
      <c r="F27" s="120"/>
      <c r="G27" s="120"/>
      <c r="H27" s="120"/>
      <c r="I27" s="120"/>
      <c r="J27" s="120"/>
    </row>
    <row r="28" spans="2:10" ht="21" customHeight="1">
      <c r="B28" s="17" t="s">
        <v>44</v>
      </c>
      <c r="C28" s="10" t="s">
        <v>45</v>
      </c>
      <c r="D28" s="117">
        <f>E28+F28+G28+H28</f>
        <v>0</v>
      </c>
      <c r="E28" s="117">
        <f aca="true" t="shared" si="3" ref="E28:J28">E30+E31+E32+E33+E34+E37</f>
        <v>0</v>
      </c>
      <c r="F28" s="117">
        <f t="shared" si="3"/>
        <v>0</v>
      </c>
      <c r="G28" s="117">
        <f t="shared" si="3"/>
        <v>0</v>
      </c>
      <c r="H28" s="117">
        <f t="shared" si="3"/>
        <v>0</v>
      </c>
      <c r="I28" s="117">
        <f t="shared" si="3"/>
        <v>0</v>
      </c>
      <c r="J28" s="117">
        <f t="shared" si="3"/>
        <v>0</v>
      </c>
    </row>
    <row r="29" spans="2:10" ht="10.5" customHeight="1">
      <c r="B29" s="16" t="s">
        <v>32</v>
      </c>
      <c r="C29" s="7"/>
      <c r="D29" s="118"/>
      <c r="E29" s="119"/>
      <c r="F29" s="119"/>
      <c r="G29" s="119"/>
      <c r="H29" s="119"/>
      <c r="I29" s="119"/>
      <c r="J29" s="119"/>
    </row>
    <row r="30" spans="2:10" ht="21" customHeight="1">
      <c r="B30" s="16" t="s">
        <v>46</v>
      </c>
      <c r="C30" s="8" t="s">
        <v>47</v>
      </c>
      <c r="D30" s="118">
        <f>E30+F30+G30+H30</f>
        <v>0</v>
      </c>
      <c r="E30" s="120"/>
      <c r="F30" s="120"/>
      <c r="G30" s="120"/>
      <c r="H30" s="120"/>
      <c r="I30" s="120"/>
      <c r="J30" s="120"/>
    </row>
    <row r="31" spans="2:10" ht="21" customHeight="1">
      <c r="B31" s="16" t="s">
        <v>48</v>
      </c>
      <c r="C31" s="8" t="s">
        <v>49</v>
      </c>
      <c r="D31" s="118">
        <f aca="true" t="shared" si="4" ref="D31:D64">E31+F31+G31+H31</f>
        <v>0</v>
      </c>
      <c r="E31" s="120"/>
      <c r="F31" s="120"/>
      <c r="G31" s="120"/>
      <c r="H31" s="120"/>
      <c r="I31" s="120"/>
      <c r="J31" s="120"/>
    </row>
    <row r="32" spans="2:10" ht="21" customHeight="1">
      <c r="B32" s="16" t="s">
        <v>50</v>
      </c>
      <c r="C32" s="8" t="s">
        <v>51</v>
      </c>
      <c r="D32" s="118">
        <f t="shared" si="4"/>
        <v>0</v>
      </c>
      <c r="E32" s="120"/>
      <c r="F32" s="120"/>
      <c r="G32" s="120"/>
      <c r="H32" s="120"/>
      <c r="I32" s="120"/>
      <c r="J32" s="120"/>
    </row>
    <row r="33" spans="2:10" ht="21" customHeight="1">
      <c r="B33" s="16" t="s">
        <v>52</v>
      </c>
      <c r="C33" s="8" t="s">
        <v>53</v>
      </c>
      <c r="D33" s="118">
        <f t="shared" si="4"/>
        <v>0</v>
      </c>
      <c r="E33" s="120"/>
      <c r="F33" s="120"/>
      <c r="G33" s="120"/>
      <c r="H33" s="120"/>
      <c r="I33" s="120"/>
      <c r="J33" s="120"/>
    </row>
    <row r="34" spans="2:10" ht="21" customHeight="1">
      <c r="B34" s="16" t="s">
        <v>54</v>
      </c>
      <c r="C34" s="6">
        <v>225</v>
      </c>
      <c r="D34" s="118">
        <f t="shared" si="4"/>
        <v>0</v>
      </c>
      <c r="E34" s="120"/>
      <c r="F34" s="120"/>
      <c r="G34" s="120"/>
      <c r="H34" s="120"/>
      <c r="I34" s="120"/>
      <c r="J34" s="120"/>
    </row>
    <row r="35" spans="2:10" ht="21" customHeight="1">
      <c r="B35" s="16" t="s">
        <v>32</v>
      </c>
      <c r="C35" s="6"/>
      <c r="D35" s="118">
        <f t="shared" si="4"/>
        <v>0</v>
      </c>
      <c r="E35" s="120"/>
      <c r="F35" s="120"/>
      <c r="G35" s="120"/>
      <c r="H35" s="120"/>
      <c r="I35" s="120"/>
      <c r="J35" s="120"/>
    </row>
    <row r="36" spans="2:10" ht="21" customHeight="1">
      <c r="B36" s="16" t="s">
        <v>204</v>
      </c>
      <c r="C36" s="6"/>
      <c r="D36" s="118">
        <f t="shared" si="4"/>
        <v>0</v>
      </c>
      <c r="E36" s="120"/>
      <c r="F36" s="120"/>
      <c r="G36" s="120"/>
      <c r="H36" s="120"/>
      <c r="I36" s="120"/>
      <c r="J36" s="120"/>
    </row>
    <row r="37" spans="2:10" ht="21" customHeight="1">
      <c r="B37" s="16" t="s">
        <v>110</v>
      </c>
      <c r="C37" s="6">
        <v>226</v>
      </c>
      <c r="D37" s="118">
        <f t="shared" si="4"/>
        <v>0</v>
      </c>
      <c r="E37" s="120"/>
      <c r="F37" s="120"/>
      <c r="G37" s="120"/>
      <c r="H37" s="120"/>
      <c r="I37" s="120"/>
      <c r="J37" s="120"/>
    </row>
    <row r="38" spans="2:10" ht="21" customHeight="1">
      <c r="B38" s="16" t="s">
        <v>32</v>
      </c>
      <c r="C38" s="6"/>
      <c r="D38" s="118">
        <f t="shared" si="4"/>
        <v>0</v>
      </c>
      <c r="E38" s="120"/>
      <c r="F38" s="120"/>
      <c r="G38" s="120"/>
      <c r="H38" s="120"/>
      <c r="I38" s="120"/>
      <c r="J38" s="120"/>
    </row>
    <row r="39" spans="2:10" ht="21" customHeight="1">
      <c r="B39" s="16" t="s">
        <v>205</v>
      </c>
      <c r="C39" s="6"/>
      <c r="D39" s="118">
        <f t="shared" si="4"/>
        <v>0</v>
      </c>
      <c r="E39" s="120"/>
      <c r="F39" s="120"/>
      <c r="G39" s="120"/>
      <c r="H39" s="120"/>
      <c r="I39" s="120"/>
      <c r="J39" s="120"/>
    </row>
    <row r="40" spans="2:10" ht="38.45" customHeight="1">
      <c r="B40" s="17" t="s">
        <v>103</v>
      </c>
      <c r="C40" s="9">
        <v>240</v>
      </c>
      <c r="D40" s="118">
        <f t="shared" si="4"/>
        <v>0</v>
      </c>
      <c r="E40" s="117">
        <f aca="true" t="shared" si="5" ref="E40:J40">E42</f>
        <v>0</v>
      </c>
      <c r="F40" s="117">
        <f t="shared" si="5"/>
        <v>0</v>
      </c>
      <c r="G40" s="117">
        <f t="shared" si="5"/>
        <v>0</v>
      </c>
      <c r="H40" s="117">
        <f t="shared" si="5"/>
        <v>0</v>
      </c>
      <c r="I40" s="117">
        <f t="shared" si="5"/>
        <v>0</v>
      </c>
      <c r="J40" s="117">
        <f t="shared" si="5"/>
        <v>0</v>
      </c>
    </row>
    <row r="41" spans="2:10" ht="9.75" customHeight="1">
      <c r="B41" s="16" t="s">
        <v>32</v>
      </c>
      <c r="C41" s="6"/>
      <c r="D41" s="118">
        <f t="shared" si="4"/>
        <v>0</v>
      </c>
      <c r="E41" s="119"/>
      <c r="F41" s="119"/>
      <c r="G41" s="119"/>
      <c r="H41" s="119"/>
      <c r="I41" s="119"/>
      <c r="J41" s="119"/>
    </row>
    <row r="42" spans="2:10" ht="30.75" customHeight="1">
      <c r="B42" s="18" t="s">
        <v>104</v>
      </c>
      <c r="C42" s="8" t="s">
        <v>55</v>
      </c>
      <c r="D42" s="118">
        <f t="shared" si="4"/>
        <v>0</v>
      </c>
      <c r="E42" s="120"/>
      <c r="F42" s="120"/>
      <c r="G42" s="120"/>
      <c r="H42" s="120"/>
      <c r="I42" s="120"/>
      <c r="J42" s="120"/>
    </row>
    <row r="43" spans="2:10" ht="21" customHeight="1">
      <c r="B43" s="17" t="s">
        <v>56</v>
      </c>
      <c r="C43" s="10" t="s">
        <v>57</v>
      </c>
      <c r="D43" s="118">
        <f t="shared" si="4"/>
        <v>0</v>
      </c>
      <c r="E43" s="117">
        <f aca="true" t="shared" si="6" ref="E43:J43">E45+E46</f>
        <v>0</v>
      </c>
      <c r="F43" s="117">
        <f t="shared" si="6"/>
        <v>0</v>
      </c>
      <c r="G43" s="117">
        <f t="shared" si="6"/>
        <v>0</v>
      </c>
      <c r="H43" s="117">
        <f t="shared" si="6"/>
        <v>0</v>
      </c>
      <c r="I43" s="117">
        <f t="shared" si="6"/>
        <v>0</v>
      </c>
      <c r="J43" s="117">
        <f t="shared" si="6"/>
        <v>0</v>
      </c>
    </row>
    <row r="44" spans="2:10" ht="10.5" customHeight="1">
      <c r="B44" s="16" t="s">
        <v>32</v>
      </c>
      <c r="C44" s="7"/>
      <c r="D44" s="118">
        <f t="shared" si="4"/>
        <v>0</v>
      </c>
      <c r="E44" s="119"/>
      <c r="F44" s="119"/>
      <c r="G44" s="119"/>
      <c r="H44" s="119"/>
      <c r="I44" s="119"/>
      <c r="J44" s="119"/>
    </row>
    <row r="45" spans="2:10" ht="21" customHeight="1">
      <c r="B45" s="16" t="s">
        <v>58</v>
      </c>
      <c r="C45" s="8" t="s">
        <v>59</v>
      </c>
      <c r="D45" s="118">
        <f t="shared" si="4"/>
        <v>0</v>
      </c>
      <c r="E45" s="120"/>
      <c r="F45" s="120"/>
      <c r="G45" s="120"/>
      <c r="H45" s="120"/>
      <c r="I45" s="120"/>
      <c r="J45" s="120"/>
    </row>
    <row r="46" spans="2:10" ht="35.45" customHeight="1">
      <c r="B46" s="16" t="s">
        <v>60</v>
      </c>
      <c r="C46" s="8" t="s">
        <v>61</v>
      </c>
      <c r="D46" s="118">
        <f t="shared" si="4"/>
        <v>0</v>
      </c>
      <c r="E46" s="120"/>
      <c r="F46" s="120"/>
      <c r="G46" s="120"/>
      <c r="H46" s="120"/>
      <c r="I46" s="120"/>
      <c r="J46" s="120"/>
    </row>
    <row r="47" spans="2:10" ht="21" customHeight="1">
      <c r="B47" s="17" t="s">
        <v>62</v>
      </c>
      <c r="C47" s="10" t="s">
        <v>63</v>
      </c>
      <c r="D47" s="118">
        <f t="shared" si="4"/>
        <v>0</v>
      </c>
      <c r="E47" s="121"/>
      <c r="F47" s="121"/>
      <c r="G47" s="121"/>
      <c r="H47" s="121"/>
      <c r="I47" s="121"/>
      <c r="J47" s="121"/>
    </row>
    <row r="48" spans="2:10" ht="35.45" customHeight="1">
      <c r="B48" s="17" t="s">
        <v>64</v>
      </c>
      <c r="C48" s="10" t="s">
        <v>65</v>
      </c>
      <c r="D48" s="118">
        <f t="shared" si="4"/>
        <v>0</v>
      </c>
      <c r="E48" s="117">
        <f aca="true" t="shared" si="7" ref="E48:J48">E50+E51+E52+E53</f>
        <v>0</v>
      </c>
      <c r="F48" s="117">
        <f t="shared" si="7"/>
        <v>0</v>
      </c>
      <c r="G48" s="117">
        <f t="shared" si="7"/>
        <v>0</v>
      </c>
      <c r="H48" s="117">
        <f t="shared" si="7"/>
        <v>0</v>
      </c>
      <c r="I48" s="117">
        <f t="shared" si="7"/>
        <v>0</v>
      </c>
      <c r="J48" s="117">
        <f t="shared" si="7"/>
        <v>0</v>
      </c>
    </row>
    <row r="49" spans="2:10" ht="12" customHeight="1">
      <c r="B49" s="16" t="s">
        <v>32</v>
      </c>
      <c r="C49" s="7"/>
      <c r="D49" s="118">
        <f t="shared" si="4"/>
        <v>0</v>
      </c>
      <c r="E49" s="119"/>
      <c r="F49" s="119"/>
      <c r="G49" s="119"/>
      <c r="H49" s="119"/>
      <c r="I49" s="119"/>
      <c r="J49" s="119"/>
    </row>
    <row r="50" spans="2:10" ht="27.6" customHeight="1">
      <c r="B50" s="16" t="s">
        <v>66</v>
      </c>
      <c r="C50" s="8" t="s">
        <v>67</v>
      </c>
      <c r="D50" s="118">
        <f t="shared" si="4"/>
        <v>0</v>
      </c>
      <c r="E50" s="120"/>
      <c r="F50" s="120"/>
      <c r="G50" s="120"/>
      <c r="H50" s="120"/>
      <c r="I50" s="120"/>
      <c r="J50" s="120"/>
    </row>
    <row r="51" spans="2:10" ht="27.6" customHeight="1">
      <c r="B51" s="16" t="s">
        <v>68</v>
      </c>
      <c r="C51" s="8" t="s">
        <v>69</v>
      </c>
      <c r="D51" s="118">
        <f t="shared" si="4"/>
        <v>0</v>
      </c>
      <c r="E51" s="120"/>
      <c r="F51" s="120"/>
      <c r="G51" s="120"/>
      <c r="H51" s="120"/>
      <c r="I51" s="120"/>
      <c r="J51" s="120"/>
    </row>
    <row r="52" spans="2:10" ht="37.9" customHeight="1">
      <c r="B52" s="16" t="s">
        <v>80</v>
      </c>
      <c r="C52" s="8" t="s">
        <v>81</v>
      </c>
      <c r="D52" s="118">
        <f t="shared" si="4"/>
        <v>0</v>
      </c>
      <c r="E52" s="120"/>
      <c r="F52" s="120"/>
      <c r="G52" s="120"/>
      <c r="H52" s="120"/>
      <c r="I52" s="120"/>
      <c r="J52" s="120"/>
    </row>
    <row r="53" spans="2:10" ht="21" customHeight="1">
      <c r="B53" s="16" t="s">
        <v>70</v>
      </c>
      <c r="C53" s="8" t="s">
        <v>71</v>
      </c>
      <c r="D53" s="118">
        <f t="shared" si="4"/>
        <v>0</v>
      </c>
      <c r="E53" s="120"/>
      <c r="F53" s="120"/>
      <c r="G53" s="120"/>
      <c r="H53" s="120"/>
      <c r="I53" s="120"/>
      <c r="J53" s="120"/>
    </row>
    <row r="54" spans="2:10" ht="21" customHeight="1">
      <c r="B54" s="16" t="s">
        <v>32</v>
      </c>
      <c r="C54" s="8"/>
      <c r="D54" s="118">
        <f t="shared" si="4"/>
        <v>0</v>
      </c>
      <c r="E54" s="120"/>
      <c r="F54" s="120"/>
      <c r="G54" s="120"/>
      <c r="H54" s="120"/>
      <c r="I54" s="120"/>
      <c r="J54" s="120"/>
    </row>
    <row r="55" spans="2:10" ht="21" customHeight="1">
      <c r="B55" s="16" t="s">
        <v>206</v>
      </c>
      <c r="C55" s="8"/>
      <c r="D55" s="118">
        <f t="shared" si="4"/>
        <v>0</v>
      </c>
      <c r="E55" s="120"/>
      <c r="F55" s="120"/>
      <c r="G55" s="120"/>
      <c r="H55" s="120"/>
      <c r="I55" s="120"/>
      <c r="J55" s="120"/>
    </row>
    <row r="56" spans="2:10" ht="21" customHeight="1">
      <c r="B56" s="16" t="s">
        <v>207</v>
      </c>
      <c r="C56" s="8"/>
      <c r="D56" s="118">
        <f t="shared" si="4"/>
        <v>0</v>
      </c>
      <c r="E56" s="120"/>
      <c r="F56" s="120"/>
      <c r="G56" s="120"/>
      <c r="H56" s="120"/>
      <c r="I56" s="120"/>
      <c r="J56" s="120"/>
    </row>
    <row r="57" spans="2:10" ht="21" customHeight="1">
      <c r="B57" s="16" t="s">
        <v>208</v>
      </c>
      <c r="C57" s="8"/>
      <c r="D57" s="118">
        <f t="shared" si="4"/>
        <v>0</v>
      </c>
      <c r="E57" s="120"/>
      <c r="F57" s="120"/>
      <c r="G57" s="120"/>
      <c r="H57" s="120"/>
      <c r="I57" s="120"/>
      <c r="J57" s="120"/>
    </row>
    <row r="58" spans="2:10" ht="21" customHeight="1">
      <c r="B58" s="16" t="s">
        <v>209</v>
      </c>
      <c r="C58" s="8"/>
      <c r="D58" s="118">
        <f t="shared" si="4"/>
        <v>0</v>
      </c>
      <c r="E58" s="120"/>
      <c r="F58" s="120"/>
      <c r="G58" s="120"/>
      <c r="H58" s="120"/>
      <c r="I58" s="120"/>
      <c r="J58" s="120"/>
    </row>
    <row r="59" spans="2:10" ht="21" customHeight="1">
      <c r="B59" s="17" t="s">
        <v>72</v>
      </c>
      <c r="C59" s="10" t="s">
        <v>73</v>
      </c>
      <c r="D59" s="118">
        <f t="shared" si="4"/>
        <v>0</v>
      </c>
      <c r="E59" s="117">
        <f aca="true" t="shared" si="8" ref="E59:J59">E61+E62</f>
        <v>0</v>
      </c>
      <c r="F59" s="117">
        <f t="shared" si="8"/>
        <v>0</v>
      </c>
      <c r="G59" s="117">
        <f t="shared" si="8"/>
        <v>0</v>
      </c>
      <c r="H59" s="117">
        <f t="shared" si="8"/>
        <v>0</v>
      </c>
      <c r="I59" s="117">
        <f t="shared" si="8"/>
        <v>0</v>
      </c>
      <c r="J59" s="117">
        <f t="shared" si="8"/>
        <v>0</v>
      </c>
    </row>
    <row r="60" spans="2:10" ht="10.5" customHeight="1">
      <c r="B60" s="16" t="s">
        <v>32</v>
      </c>
      <c r="C60" s="7"/>
      <c r="D60" s="118">
        <f t="shared" si="4"/>
        <v>0</v>
      </c>
      <c r="E60" s="119"/>
      <c r="F60" s="119"/>
      <c r="G60" s="119"/>
      <c r="H60" s="119"/>
      <c r="I60" s="119"/>
      <c r="J60" s="119"/>
    </row>
    <row r="61" spans="2:10" ht="33.6" customHeight="1">
      <c r="B61" s="16" t="s">
        <v>74</v>
      </c>
      <c r="C61" s="8" t="s">
        <v>75</v>
      </c>
      <c r="D61" s="118">
        <f t="shared" si="4"/>
        <v>0</v>
      </c>
      <c r="E61" s="120"/>
      <c r="F61" s="120"/>
      <c r="G61" s="120"/>
      <c r="H61" s="120"/>
      <c r="I61" s="120"/>
      <c r="J61" s="120"/>
    </row>
    <row r="62" spans="2:10" ht="31.15" customHeight="1">
      <c r="B62" s="16" t="s">
        <v>76</v>
      </c>
      <c r="C62" s="8" t="s">
        <v>77</v>
      </c>
      <c r="D62" s="118">
        <f t="shared" si="4"/>
        <v>0</v>
      </c>
      <c r="E62" s="120"/>
      <c r="F62" s="120"/>
      <c r="G62" s="120"/>
      <c r="H62" s="120"/>
      <c r="I62" s="120"/>
      <c r="J62" s="120"/>
    </row>
    <row r="63" spans="2:10" ht="9.75" customHeight="1">
      <c r="B63" s="16" t="s">
        <v>78</v>
      </c>
      <c r="C63" s="7"/>
      <c r="D63" s="118">
        <f t="shared" si="4"/>
        <v>0</v>
      </c>
      <c r="E63" s="119"/>
      <c r="F63" s="119"/>
      <c r="G63" s="119"/>
      <c r="H63" s="119"/>
      <c r="I63" s="119"/>
      <c r="J63" s="119"/>
    </row>
    <row r="64" spans="2:10" ht="21" customHeight="1">
      <c r="B64" s="16" t="s">
        <v>79</v>
      </c>
      <c r="C64" s="8" t="s">
        <v>36</v>
      </c>
      <c r="D64" s="118">
        <f t="shared" si="4"/>
        <v>0</v>
      </c>
      <c r="E64" s="120"/>
      <c r="F64" s="120"/>
      <c r="G64" s="120"/>
      <c r="H64" s="120"/>
      <c r="I64" s="120"/>
      <c r="J64" s="120"/>
    </row>
  </sheetData>
  <sheetProtection password="C541" sheet="1" objects="1" scenarios="1" formatCells="0" formatColumns="0" formatRows="0"/>
  <mergeCells count="17">
    <mergeCell ref="G8:J8"/>
    <mergeCell ref="H1:J1"/>
    <mergeCell ref="G2:J2"/>
    <mergeCell ref="H3:J3"/>
    <mergeCell ref="G5:J5"/>
    <mergeCell ref="G7:J7"/>
    <mergeCell ref="J17:J18"/>
    <mergeCell ref="B11:J11"/>
    <mergeCell ref="B12:J12"/>
    <mergeCell ref="B13:J13"/>
    <mergeCell ref="B14:J14"/>
    <mergeCell ref="B15:J15"/>
    <mergeCell ref="B17:B18"/>
    <mergeCell ref="C17:C18"/>
    <mergeCell ref="D17:D18"/>
    <mergeCell ref="E17:H17"/>
    <mergeCell ref="I17:I18"/>
  </mergeCells>
  <printOptions horizontalCentered="1"/>
  <pageMargins left="0.1968503937007874" right="0.1968503937007874" top="0.15748031496062992" bottom="0.15748031496062992" header="0.15748031496062992" footer="0.15748031496062992"/>
  <pageSetup fitToHeight="1" fitToWidth="1" horizontalDpi="600" verticalDpi="600" orientation="portrait" paperSize="9" scale="5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A70"/>
  <sheetViews>
    <sheetView view="pageBreakPreview" zoomScale="60" workbookViewId="0" topLeftCell="B51">
      <selection activeCell="D43" sqref="D43"/>
    </sheetView>
  </sheetViews>
  <sheetFormatPr defaultColWidth="9.00390625" defaultRowHeight="12.75"/>
  <cols>
    <col min="1" max="1" width="2.00390625" style="0" customWidth="1"/>
    <col min="2" max="2" width="54.75390625" style="0" customWidth="1"/>
    <col min="3" max="3" width="11.75390625" style="0" customWidth="1"/>
    <col min="4" max="4" width="16.00390625" style="0" customWidth="1"/>
    <col min="5" max="5" width="15.875" style="0" customWidth="1"/>
    <col min="6" max="6" width="15.25390625" style="0" customWidth="1"/>
    <col min="7" max="10" width="15.875" style="0" customWidth="1"/>
    <col min="11" max="11" width="25.375" style="0" customWidth="1"/>
  </cols>
  <sheetData>
    <row r="1" spans="5:10" ht="12.75">
      <c r="E1" s="94"/>
      <c r="F1" s="94"/>
      <c r="G1" s="37"/>
      <c r="H1" s="408"/>
      <c r="I1" s="408"/>
      <c r="J1" s="408"/>
    </row>
    <row r="2" spans="5:10" ht="12.75" customHeight="1">
      <c r="E2" s="94"/>
      <c r="F2" s="94"/>
      <c r="G2" s="415" t="str">
        <f>'Касс.пл. ХМАО'!G2:J2</f>
        <v>к протоколу № 2 от 12.03.2015.</v>
      </c>
      <c r="H2" s="415"/>
      <c r="I2" s="415"/>
      <c r="J2" s="415"/>
    </row>
    <row r="3" spans="5:10" ht="12.75">
      <c r="E3" s="94"/>
      <c r="F3" s="94"/>
      <c r="G3" s="37"/>
      <c r="H3" s="409"/>
      <c r="I3" s="409"/>
      <c r="J3" s="409"/>
    </row>
    <row r="4" spans="5:10" ht="13.15" customHeight="1">
      <c r="E4" s="94"/>
      <c r="F4" s="94"/>
      <c r="G4" s="86"/>
      <c r="H4" s="86"/>
      <c r="I4" s="87" t="s">
        <v>8</v>
      </c>
      <c r="J4" s="86"/>
    </row>
    <row r="5" spans="5:10" ht="12.75" customHeight="1">
      <c r="E5" s="94"/>
      <c r="F5" s="94"/>
      <c r="G5" s="410" t="str">
        <f>'Касс. план (50400)'!G5:J5</f>
        <v>Директор АСУСОН ТО "Ишимский геронтологический центр"</v>
      </c>
      <c r="H5" s="410"/>
      <c r="I5" s="410"/>
      <c r="J5" s="410"/>
    </row>
    <row r="6" spans="5:10" ht="11.45" customHeight="1">
      <c r="E6" s="94"/>
      <c r="F6" s="94"/>
      <c r="G6" s="37"/>
      <c r="H6" s="88"/>
      <c r="I6" s="89" t="s">
        <v>113</v>
      </c>
      <c r="J6" s="88"/>
    </row>
    <row r="7" spans="5:10" ht="15.6" customHeight="1">
      <c r="E7" s="94"/>
      <c r="F7" s="94"/>
      <c r="G7" s="413" t="str">
        <f>'Касс. план (50400)'!G7:J7</f>
        <v>Т.И. Сиюткина</v>
      </c>
      <c r="H7" s="413"/>
      <c r="I7" s="413"/>
      <c r="J7" s="413"/>
    </row>
    <row r="8" spans="5:10" ht="10.9" customHeight="1">
      <c r="E8" s="94"/>
      <c r="F8" s="94"/>
      <c r="G8" s="414" t="s">
        <v>136</v>
      </c>
      <c r="H8" s="414"/>
      <c r="I8" s="414"/>
      <c r="J8" s="414"/>
    </row>
    <row r="9" spans="5:10" ht="12.75">
      <c r="E9" s="94"/>
      <c r="F9" s="94"/>
      <c r="G9" s="128" t="s">
        <v>176</v>
      </c>
      <c r="H9" s="92" t="s">
        <v>202</v>
      </c>
      <c r="I9" s="92"/>
      <c r="J9" s="93"/>
    </row>
    <row r="11" spans="2:10" ht="18">
      <c r="B11" s="438" t="s">
        <v>112</v>
      </c>
      <c r="C11" s="438"/>
      <c r="D11" s="438"/>
      <c r="E11" s="438"/>
      <c r="F11" s="438"/>
      <c r="G11" s="438"/>
      <c r="H11" s="438"/>
      <c r="I11" s="438"/>
      <c r="J11" s="438"/>
    </row>
    <row r="12" spans="2:10" ht="13.9" customHeight="1">
      <c r="B12" s="431" t="s">
        <v>127</v>
      </c>
      <c r="C12" s="431"/>
      <c r="D12" s="431"/>
      <c r="E12" s="431"/>
      <c r="F12" s="431"/>
      <c r="G12" s="431"/>
      <c r="H12" s="431"/>
      <c r="I12" s="431"/>
      <c r="J12" s="431"/>
    </row>
    <row r="13" spans="2:10" ht="16.5">
      <c r="B13" s="436" t="s">
        <v>111</v>
      </c>
      <c r="C13" s="436"/>
      <c r="D13" s="436"/>
      <c r="E13" s="436"/>
      <c r="F13" s="436"/>
      <c r="G13" s="436"/>
      <c r="H13" s="436"/>
      <c r="I13" s="436"/>
      <c r="J13" s="436"/>
    </row>
    <row r="14" spans="2:27" ht="12.75" customHeight="1">
      <c r="B14" s="329" t="str">
        <f>'Касс.пл. ХМАО'!B14</f>
        <v>Автономное стационарное учреждение социального обслуживания населения Тюменской области "Ишимский геронтологический центр"</v>
      </c>
      <c r="C14" s="329"/>
      <c r="D14" s="329"/>
      <c r="E14" s="329"/>
      <c r="F14" s="329"/>
      <c r="G14" s="329"/>
      <c r="H14" s="329"/>
      <c r="I14" s="329"/>
      <c r="J14" s="329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"/>
      <c r="X14" s="1"/>
      <c r="Y14" s="1"/>
      <c r="Z14" s="1"/>
      <c r="AA14" s="1"/>
    </row>
    <row r="15" spans="2:27" ht="16.5">
      <c r="B15" s="437" t="s">
        <v>4</v>
      </c>
      <c r="C15" s="437"/>
      <c r="D15" s="437"/>
      <c r="E15" s="437"/>
      <c r="F15" s="437"/>
      <c r="G15" s="437"/>
      <c r="H15" s="437"/>
      <c r="I15" s="437"/>
      <c r="J15" s="43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2.75">
      <c r="B16" s="5"/>
      <c r="C16" s="5"/>
      <c r="D16" s="5"/>
      <c r="E16" s="5"/>
      <c r="F16" s="5"/>
      <c r="G16" s="5"/>
      <c r="H16" s="5"/>
      <c r="I16" s="5"/>
      <c r="J16" s="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10" ht="12.75">
      <c r="B17" s="432" t="s">
        <v>11</v>
      </c>
      <c r="C17" s="434" t="s">
        <v>35</v>
      </c>
      <c r="D17" s="419" t="s">
        <v>213</v>
      </c>
      <c r="E17" s="428" t="s">
        <v>98</v>
      </c>
      <c r="F17" s="429"/>
      <c r="G17" s="429"/>
      <c r="H17" s="430"/>
      <c r="I17" s="419" t="s">
        <v>143</v>
      </c>
      <c r="J17" s="419" t="s">
        <v>197</v>
      </c>
    </row>
    <row r="18" spans="2:10" ht="18" customHeight="1">
      <c r="B18" s="433"/>
      <c r="C18" s="435"/>
      <c r="D18" s="420"/>
      <c r="E18" s="14" t="s">
        <v>99</v>
      </c>
      <c r="F18" s="14" t="s">
        <v>100</v>
      </c>
      <c r="G18" s="14" t="s">
        <v>101</v>
      </c>
      <c r="H18" s="14" t="s">
        <v>102</v>
      </c>
      <c r="I18" s="420"/>
      <c r="J18" s="420"/>
    </row>
    <row r="19" spans="2:10" ht="18" customHeight="1">
      <c r="B19" s="44" t="s">
        <v>97</v>
      </c>
      <c r="C19" s="45"/>
      <c r="D19" s="114">
        <f>E19+F19+G19+H19</f>
        <v>292966.28</v>
      </c>
      <c r="E19" s="139">
        <f>'Касс.пл.Внеб.(50300) (2)'!E19+'Касс.пл.Внеб.(50320)'!E19</f>
        <v>292966.28</v>
      </c>
      <c r="F19" s="139">
        <f>'Касс.пл.Внеб.(50300) (2)'!F19+'Касс.пл.Внеб.(50320)'!F19</f>
        <v>0</v>
      </c>
      <c r="G19" s="139">
        <f>'Касс.пл.Внеб.(50300) (2)'!G19+'Касс.пл.Внеб.(50320)'!G19</f>
        <v>0</v>
      </c>
      <c r="H19" s="139">
        <f>'Касс.пл.Внеб.(50300) (2)'!H19+'Касс.пл.Внеб.(50320)'!H19</f>
        <v>0</v>
      </c>
      <c r="I19" s="139">
        <f>'Касс.пл.Внеб.(50300) (2)'!I19+'Касс.пл.Внеб.(50320)'!I19</f>
        <v>0</v>
      </c>
      <c r="J19" s="139">
        <f>'Касс.пл.Внеб.(50300) (2)'!J19+'Касс.пл.Внеб.(50320)'!J19</f>
        <v>0</v>
      </c>
    </row>
    <row r="20" spans="2:11" ht="18" customHeight="1">
      <c r="B20" s="44" t="s">
        <v>106</v>
      </c>
      <c r="C20" s="45">
        <v>180</v>
      </c>
      <c r="D20" s="114">
        <f>E20+F20+G20+H20</f>
        <v>14722000</v>
      </c>
      <c r="E20" s="114">
        <f>IF(E22&gt;0,IF((E28-E19)=(E22+E23+E24+E25+E26+E27),E28-E19,"Ошибка!"),0)</f>
        <v>3474200</v>
      </c>
      <c r="F20" s="114">
        <f aca="true" t="shared" si="0" ref="F20:J20">IF(F22&gt;0,IF((F28-F19)=(F22+F23+F24+F25+F26+F27),F28-F19,"Ошибка!"),0)</f>
        <v>3734100</v>
      </c>
      <c r="G20" s="114">
        <f t="shared" si="0"/>
        <v>3748300</v>
      </c>
      <c r="H20" s="114">
        <f t="shared" si="0"/>
        <v>3765400</v>
      </c>
      <c r="I20" s="114">
        <f t="shared" si="0"/>
        <v>13053000</v>
      </c>
      <c r="J20" s="114">
        <f t="shared" si="0"/>
        <v>13053000</v>
      </c>
      <c r="K20" s="113"/>
    </row>
    <row r="21" spans="2:10" ht="15" customHeight="1">
      <c r="B21" s="44" t="s">
        <v>33</v>
      </c>
      <c r="C21" s="45"/>
      <c r="D21" s="114"/>
      <c r="E21" s="111"/>
      <c r="F21" s="111"/>
      <c r="G21" s="111"/>
      <c r="H21" s="111"/>
      <c r="I21" s="111"/>
      <c r="J21" s="111"/>
    </row>
    <row r="22" spans="2:10" ht="18" customHeight="1">
      <c r="B22" s="44" t="s">
        <v>140</v>
      </c>
      <c r="C22" s="45">
        <v>130</v>
      </c>
      <c r="D22" s="114">
        <f aca="true" t="shared" si="1" ref="D22:D27">E22+F22+G22+H22</f>
        <v>14702000</v>
      </c>
      <c r="E22" s="142">
        <f>'Касс.пл.Внеб.(50300) (2)'!E22+'Касс.пл.Внеб.(50320)'!E22</f>
        <v>3454200</v>
      </c>
      <c r="F22" s="142">
        <f>'Касс.пл.Внеб.(50300) (2)'!F22+'Касс.пл.Внеб.(50320)'!F22</f>
        <v>3734100</v>
      </c>
      <c r="G22" s="142">
        <f>'Касс.пл.Внеб.(50300) (2)'!G22+'Касс.пл.Внеб.(50320)'!G22</f>
        <v>3748300</v>
      </c>
      <c r="H22" s="142">
        <f>'Касс.пл.Внеб.(50300) (2)'!H22+'Касс.пл.Внеб.(50320)'!H22</f>
        <v>3765400</v>
      </c>
      <c r="I22" s="142">
        <f>'Касс.пл.Внеб.(50300) (2)'!I22+'Касс.пл.Внеб.(50320)'!I22</f>
        <v>13053000</v>
      </c>
      <c r="J22" s="142">
        <f>'Касс.пл.Внеб.(50300) (2)'!J22+'Касс.пл.Внеб.(50320)'!J22</f>
        <v>13053000</v>
      </c>
    </row>
    <row r="23" spans="2:10" ht="28.5" customHeight="1">
      <c r="B23" s="44" t="s">
        <v>141</v>
      </c>
      <c r="C23" s="45">
        <v>140</v>
      </c>
      <c r="D23" s="114">
        <f t="shared" si="1"/>
        <v>0</v>
      </c>
      <c r="E23" s="142">
        <f>'Касс.пл.Внеб.(50300) (2)'!E23+'Касс.пл.Внеб.(50320)'!E23</f>
        <v>0</v>
      </c>
      <c r="F23" s="142">
        <f>'Касс.пл.Внеб.(50300) (2)'!F23+'Касс.пл.Внеб.(50320)'!F23</f>
        <v>0</v>
      </c>
      <c r="G23" s="142">
        <f>'Касс.пл.Внеб.(50300) (2)'!G23+'Касс.пл.Внеб.(50320)'!G23</f>
        <v>0</v>
      </c>
      <c r="H23" s="142">
        <f>'Касс.пл.Внеб.(50300) (2)'!H23+'Касс.пл.Внеб.(50320)'!H23</f>
        <v>0</v>
      </c>
      <c r="I23" s="142">
        <f>'Касс.пл.Внеб.(50300) (2)'!I23+'Касс.пл.Внеб.(50320)'!I23</f>
        <v>0</v>
      </c>
      <c r="J23" s="142">
        <f>'Касс.пл.Внеб.(50300) (2)'!J23+'Касс.пл.Внеб.(50320)'!J23</f>
        <v>0</v>
      </c>
    </row>
    <row r="24" spans="2:10" ht="16.5" customHeight="1">
      <c r="B24" s="44" t="s">
        <v>142</v>
      </c>
      <c r="C24" s="45">
        <v>440</v>
      </c>
      <c r="D24" s="114">
        <f t="shared" si="1"/>
        <v>17000</v>
      </c>
      <c r="E24" s="142">
        <f>'Касс.пл.Внеб.(50300) (2)'!E24+'Касс.пл.Внеб.(50320)'!E24</f>
        <v>17000</v>
      </c>
      <c r="F24" s="142">
        <f>'Касс.пл.Внеб.(50300) (2)'!F24+'Касс.пл.Внеб.(50320)'!F24</f>
        <v>0</v>
      </c>
      <c r="G24" s="142">
        <f>'Касс.пл.Внеб.(50300) (2)'!G24+'Касс.пл.Внеб.(50320)'!G24</f>
        <v>0</v>
      </c>
      <c r="H24" s="142">
        <f>'Касс.пл.Внеб.(50300) (2)'!H24+'Касс.пл.Внеб.(50320)'!H24</f>
        <v>0</v>
      </c>
      <c r="I24" s="142">
        <f>'Касс.пл.Внеб.(50300) (2)'!I24+'Касс.пл.Внеб.(50320)'!I24</f>
        <v>0</v>
      </c>
      <c r="J24" s="142">
        <f>'Касс.пл.Внеб.(50300) (2)'!J24+'Касс.пл.Внеб.(50320)'!J24</f>
        <v>0</v>
      </c>
    </row>
    <row r="25" spans="2:10" ht="15" customHeight="1">
      <c r="B25" s="44" t="s">
        <v>131</v>
      </c>
      <c r="C25" s="45">
        <v>180</v>
      </c>
      <c r="D25" s="114">
        <f t="shared" si="1"/>
        <v>0</v>
      </c>
      <c r="E25" s="142">
        <f>'Касс.пл.Внеб.(50300) (2)'!E25+'Касс.пл.Внеб.(50320)'!E25</f>
        <v>0</v>
      </c>
      <c r="F25" s="142">
        <f>'Касс.пл.Внеб.(50300) (2)'!F25+'Касс.пл.Внеб.(50320)'!F25</f>
        <v>0</v>
      </c>
      <c r="G25" s="142">
        <f>'Касс.пл.Внеб.(50300) (2)'!G25+'Касс.пл.Внеб.(50320)'!G25</f>
        <v>0</v>
      </c>
      <c r="H25" s="142">
        <f>'Касс.пл.Внеб.(50300) (2)'!H25+'Касс.пл.Внеб.(50320)'!H25</f>
        <v>0</v>
      </c>
      <c r="I25" s="142">
        <f>'Касс.пл.Внеб.(50300) (2)'!I25+'Касс.пл.Внеб.(50320)'!I25</f>
        <v>0</v>
      </c>
      <c r="J25" s="142">
        <f>'Касс.пл.Внеб.(50300) (2)'!J25+'Касс.пл.Внеб.(50320)'!J25</f>
        <v>0</v>
      </c>
    </row>
    <row r="26" spans="2:10" ht="15" customHeight="1">
      <c r="B26" s="44" t="s">
        <v>132</v>
      </c>
      <c r="C26" s="45">
        <v>180</v>
      </c>
      <c r="D26" s="114">
        <f t="shared" si="1"/>
        <v>3000</v>
      </c>
      <c r="E26" s="142">
        <f>'Касс.пл.Внеб.(50300) (2)'!E26+'Касс.пл.Внеб.(50320)'!E26</f>
        <v>3000</v>
      </c>
      <c r="F26" s="142">
        <f>'Касс.пл.Внеб.(50300) (2)'!F26+'Касс.пл.Внеб.(50320)'!F26</f>
        <v>0</v>
      </c>
      <c r="G26" s="142">
        <f>'Касс.пл.Внеб.(50300) (2)'!G26+'Касс.пл.Внеб.(50320)'!G26</f>
        <v>0</v>
      </c>
      <c r="H26" s="142">
        <f>'Касс.пл.Внеб.(50300) (2)'!H26+'Касс.пл.Внеб.(50320)'!H26</f>
        <v>0</v>
      </c>
      <c r="I26" s="142">
        <f>'Касс.пл.Внеб.(50300) (2)'!I26+'Касс.пл.Внеб.(50320)'!I26</f>
        <v>0</v>
      </c>
      <c r="J26" s="142">
        <f>'Касс.пл.Внеб.(50300) (2)'!J26+'Касс.пл.Внеб.(50320)'!J26</f>
        <v>0</v>
      </c>
    </row>
    <row r="27" spans="2:10" ht="15" customHeight="1">
      <c r="B27" s="44" t="s">
        <v>190</v>
      </c>
      <c r="C27" s="45">
        <v>120</v>
      </c>
      <c r="D27" s="114">
        <f t="shared" si="1"/>
        <v>0</v>
      </c>
      <c r="E27" s="142">
        <f>'Касс.пл.Внеб.(50300) (2)'!E27</f>
        <v>0</v>
      </c>
      <c r="F27" s="142">
        <f>'Касс.пл.Внеб.(50300) (2)'!F27+'Касс.пл.Внеб.(50320)'!F27</f>
        <v>0</v>
      </c>
      <c r="G27" s="142">
        <f>'Касс.пл.Внеб.(50300) (2)'!G27+'Касс.пл.Внеб.(50320)'!G27</f>
        <v>0</v>
      </c>
      <c r="H27" s="142">
        <f>'Касс.пл.Внеб.(50300) (2)'!H27+'Касс.пл.Внеб.(50320)'!H27</f>
        <v>0</v>
      </c>
      <c r="I27" s="142">
        <f>'Касс.пл.Внеб.(50300) (2)'!I27+'Касс.пл.Внеб.(50320)'!I27</f>
        <v>0</v>
      </c>
      <c r="J27" s="142">
        <f>'Касс.пл.Внеб.(50300) (2)'!J27+'Касс.пл.Внеб.(50320)'!J27</f>
        <v>0</v>
      </c>
    </row>
    <row r="28" spans="2:10" ht="21" customHeight="1">
      <c r="B28" s="44" t="s">
        <v>38</v>
      </c>
      <c r="C28" s="46"/>
      <c r="D28" s="117">
        <f aca="true" t="shared" si="2" ref="D28:J28">D30+D34+D46+D49+D53+D54+D65</f>
        <v>15014966.280000001</v>
      </c>
      <c r="E28" s="117">
        <f>E30+E34+E46+E49+E53+E54+E65</f>
        <v>3767166.2800000003</v>
      </c>
      <c r="F28" s="117">
        <f t="shared" si="2"/>
        <v>3734100</v>
      </c>
      <c r="G28" s="117">
        <f t="shared" si="2"/>
        <v>3748300</v>
      </c>
      <c r="H28" s="117">
        <f t="shared" si="2"/>
        <v>3765400</v>
      </c>
      <c r="I28" s="117">
        <f t="shared" si="2"/>
        <v>13053000</v>
      </c>
      <c r="J28" s="117">
        <f t="shared" si="2"/>
        <v>13053000</v>
      </c>
    </row>
    <row r="29" spans="2:10" ht="13.9" customHeight="1">
      <c r="B29" s="44" t="s">
        <v>33</v>
      </c>
      <c r="C29" s="46"/>
      <c r="D29" s="118"/>
      <c r="E29" s="143"/>
      <c r="F29" s="143"/>
      <c r="G29" s="143"/>
      <c r="H29" s="143"/>
      <c r="I29" s="143"/>
      <c r="J29" s="143"/>
    </row>
    <row r="30" spans="2:10" ht="27.6" customHeight="1">
      <c r="B30" s="47" t="s">
        <v>105</v>
      </c>
      <c r="C30" s="48">
        <v>210</v>
      </c>
      <c r="D30" s="117">
        <f>D31+D32+D33</f>
        <v>5405800</v>
      </c>
      <c r="E30" s="117">
        <f aca="true" t="shared" si="3" ref="E30:J30">E31+E32+E33</f>
        <v>1222200</v>
      </c>
      <c r="F30" s="117">
        <f t="shared" si="3"/>
        <v>1204600</v>
      </c>
      <c r="G30" s="117">
        <f t="shared" si="3"/>
        <v>1404600</v>
      </c>
      <c r="H30" s="117">
        <f t="shared" si="3"/>
        <v>1574400</v>
      </c>
      <c r="I30" s="117">
        <f t="shared" si="3"/>
        <v>4268000</v>
      </c>
      <c r="J30" s="117">
        <f t="shared" si="3"/>
        <v>4308000</v>
      </c>
    </row>
    <row r="31" spans="2:10" ht="21" customHeight="1">
      <c r="B31" s="16" t="s">
        <v>39</v>
      </c>
      <c r="C31" s="8" t="s">
        <v>40</v>
      </c>
      <c r="D31" s="118">
        <f>E31+F31+G31+H31</f>
        <v>4147500</v>
      </c>
      <c r="E31" s="144">
        <f>'Касс.пл.Внеб.(50300) (2)'!E31+'Касс.пл.Внеб.(50320)'!E30</f>
        <v>940000</v>
      </c>
      <c r="F31" s="144">
        <f>'Касс.пл.Внеб.(50300) (2)'!F31+'Касс.пл.Внеб.(50320)'!F30</f>
        <v>920000</v>
      </c>
      <c r="G31" s="144">
        <f>'Касс.пл.Внеб.(50300) (2)'!G31+'Касс.пл.Внеб.(50320)'!G30</f>
        <v>1080000</v>
      </c>
      <c r="H31" s="144">
        <f>'Касс.пл.Внеб.(50300) (2)'!H31+'Касс.пл.Внеб.(50320)'!H30</f>
        <v>1207500</v>
      </c>
      <c r="I31" s="144">
        <f>'Касс.пл.Внеб.(50300) (2)'!I31+'Касс.пл.Внеб.(50320)'!I30</f>
        <v>3280000</v>
      </c>
      <c r="J31" s="144">
        <f>'Касс.пл.Внеб.(50300) (2)'!J31+'Касс.пл.Внеб.(50320)'!J30</f>
        <v>3310000</v>
      </c>
    </row>
    <row r="32" spans="2:10" ht="21" customHeight="1">
      <c r="B32" s="16" t="s">
        <v>41</v>
      </c>
      <c r="C32" s="6">
        <v>212</v>
      </c>
      <c r="D32" s="118">
        <f>E32+F32+G32+H32</f>
        <v>0</v>
      </c>
      <c r="E32" s="144">
        <f>'Касс.пл.Внеб.(50300) (2)'!E32+'Касс.пл.Внеб.(50320)'!E31</f>
        <v>0</v>
      </c>
      <c r="F32" s="144">
        <f>'Касс.пл.Внеб.(50300) (2)'!F32+'Касс.пл.Внеб.(50320)'!F31</f>
        <v>0</v>
      </c>
      <c r="G32" s="144">
        <f>'Касс.пл.Внеб.(50300) (2)'!G32+'Касс.пл.Внеб.(50320)'!G31</f>
        <v>0</v>
      </c>
      <c r="H32" s="144">
        <f>'Касс.пл.Внеб.(50300) (2)'!H32+'Касс.пл.Внеб.(50320)'!H31</f>
        <v>0</v>
      </c>
      <c r="I32" s="144">
        <f>'Касс.пл.Внеб.(50300) (2)'!I32+'Касс.пл.Внеб.(50320)'!I31</f>
        <v>0</v>
      </c>
      <c r="J32" s="144">
        <f>'Касс.пл.Внеб.(50300) (2)'!J32+'Касс.пл.Внеб.(50320)'!J31</f>
        <v>0</v>
      </c>
    </row>
    <row r="33" spans="2:10" ht="21" customHeight="1">
      <c r="B33" s="16" t="s">
        <v>42</v>
      </c>
      <c r="C33" s="8" t="s">
        <v>43</v>
      </c>
      <c r="D33" s="118">
        <f>E33+F33+G33+H33</f>
        <v>1258300</v>
      </c>
      <c r="E33" s="144">
        <f>'Касс.пл.Внеб.(50300) (2)'!E33+'Касс.пл.Внеб.(50320)'!E32</f>
        <v>282200</v>
      </c>
      <c r="F33" s="144">
        <f>'Касс.пл.Внеб.(50300) (2)'!F33+'Касс.пл.Внеб.(50320)'!F32</f>
        <v>284600</v>
      </c>
      <c r="G33" s="144">
        <f>'Касс.пл.Внеб.(50300) (2)'!G33+'Касс.пл.Внеб.(50320)'!G32</f>
        <v>324600</v>
      </c>
      <c r="H33" s="144">
        <f>'Касс.пл.Внеб.(50300) (2)'!H33+'Касс.пл.Внеб.(50320)'!H32</f>
        <v>366900</v>
      </c>
      <c r="I33" s="144">
        <f>'Касс.пл.Внеб.(50300) (2)'!I33+'Касс.пл.Внеб.(50320)'!I32</f>
        <v>988000</v>
      </c>
      <c r="J33" s="144">
        <f>'Касс.пл.Внеб.(50300) (2)'!J33+'Касс.пл.Внеб.(50320)'!J32</f>
        <v>998000</v>
      </c>
    </row>
    <row r="34" spans="2:10" ht="21" customHeight="1">
      <c r="B34" s="17" t="s">
        <v>44</v>
      </c>
      <c r="C34" s="10" t="s">
        <v>45</v>
      </c>
      <c r="D34" s="117">
        <f aca="true" t="shared" si="4" ref="D34:J34">D36+D37+D38+D39+D40+D43</f>
        <v>1786500</v>
      </c>
      <c r="E34" s="117">
        <f t="shared" si="4"/>
        <v>504300</v>
      </c>
      <c r="F34" s="117">
        <f t="shared" si="4"/>
        <v>441500</v>
      </c>
      <c r="G34" s="117">
        <f t="shared" si="4"/>
        <v>376700</v>
      </c>
      <c r="H34" s="117">
        <f t="shared" si="4"/>
        <v>464000</v>
      </c>
      <c r="I34" s="117">
        <f t="shared" si="4"/>
        <v>1193000</v>
      </c>
      <c r="J34" s="117">
        <f t="shared" si="4"/>
        <v>1193000</v>
      </c>
    </row>
    <row r="35" spans="2:10" ht="12.75" customHeight="1">
      <c r="B35" s="16" t="s">
        <v>32</v>
      </c>
      <c r="C35" s="7"/>
      <c r="D35" s="118"/>
      <c r="E35" s="143"/>
      <c r="F35" s="143"/>
      <c r="G35" s="143"/>
      <c r="H35" s="143"/>
      <c r="I35" s="143"/>
      <c r="J35" s="143"/>
    </row>
    <row r="36" spans="2:10" ht="21" customHeight="1">
      <c r="B36" s="16" t="s">
        <v>46</v>
      </c>
      <c r="C36" s="8" t="s">
        <v>47</v>
      </c>
      <c r="D36" s="118">
        <f aca="true" t="shared" si="5" ref="D36:D46">E36+F36+G36+H36</f>
        <v>0</v>
      </c>
      <c r="E36" s="144">
        <f>'Касс.пл.Внеб.(50300) (2)'!E36+'Касс.пл.Внеб.(50320)'!E35</f>
        <v>0</v>
      </c>
      <c r="F36" s="144">
        <f>'Касс.пл.Внеб.(50300) (2)'!F36+'Касс.пл.Внеб.(50320)'!F35</f>
        <v>0</v>
      </c>
      <c r="G36" s="144">
        <f>'Касс.пл.Внеб.(50300) (2)'!G36+'Касс.пл.Внеб.(50320)'!G35</f>
        <v>0</v>
      </c>
      <c r="H36" s="144">
        <f>'Касс.пл.Внеб.(50300) (2)'!H36+'Касс.пл.Внеб.(50320)'!H35</f>
        <v>0</v>
      </c>
      <c r="I36" s="144">
        <f>'Касс.пл.Внеб.(50300) (2)'!I36+'Касс.пл.Внеб.(50320)'!I35</f>
        <v>0</v>
      </c>
      <c r="J36" s="144">
        <f>'Касс.пл.Внеб.(50300) (2)'!J36+'Касс.пл.Внеб.(50320)'!J35</f>
        <v>0</v>
      </c>
    </row>
    <row r="37" spans="2:10" ht="21" customHeight="1">
      <c r="B37" s="16" t="s">
        <v>48</v>
      </c>
      <c r="C37" s="8" t="s">
        <v>49</v>
      </c>
      <c r="D37" s="118">
        <f t="shared" si="5"/>
        <v>0</v>
      </c>
      <c r="E37" s="144">
        <f>'Касс.пл.Внеб.(50300) (2)'!E37+'Касс.пл.Внеб.(50320)'!E36</f>
        <v>0</v>
      </c>
      <c r="F37" s="144">
        <f>'Касс.пл.Внеб.(50300) (2)'!F37+'Касс.пл.Внеб.(50320)'!F36</f>
        <v>0</v>
      </c>
      <c r="G37" s="144">
        <f>'Касс.пл.Внеб.(50300) (2)'!G37+'Касс.пл.Внеб.(50320)'!G36</f>
        <v>0</v>
      </c>
      <c r="H37" s="144">
        <f>'Касс.пл.Внеб.(50300) (2)'!H37+'Касс.пл.Внеб.(50320)'!H36</f>
        <v>0</v>
      </c>
      <c r="I37" s="144">
        <f>'Касс.пл.Внеб.(50300) (2)'!I37+'Касс.пл.Внеб.(50320)'!I36</f>
        <v>0</v>
      </c>
      <c r="J37" s="144">
        <f>'Касс.пл.Внеб.(50300) (2)'!J37+'Касс.пл.Внеб.(50320)'!J36</f>
        <v>0</v>
      </c>
    </row>
    <row r="38" spans="2:10" ht="21" customHeight="1">
      <c r="B38" s="16" t="s">
        <v>50</v>
      </c>
      <c r="C38" s="8" t="s">
        <v>51</v>
      </c>
      <c r="D38" s="118">
        <f t="shared" si="5"/>
        <v>209000</v>
      </c>
      <c r="E38" s="144">
        <f>'Касс.пл.Внеб.(50300) (2)'!E38+'Касс.пл.Внеб.(50320)'!E37</f>
        <v>61000</v>
      </c>
      <c r="F38" s="144">
        <f>'Касс.пл.Внеб.(50300) (2)'!F38+'Касс.пл.Внеб.(50320)'!F37</f>
        <v>48000</v>
      </c>
      <c r="G38" s="144">
        <f>'Касс.пл.Внеб.(50300) (2)'!G38+'Касс.пл.Внеб.(50320)'!G37</f>
        <v>41000</v>
      </c>
      <c r="H38" s="144">
        <f>'Касс.пл.Внеб.(50300) (2)'!H38+'Касс.пл.Внеб.(50320)'!H37</f>
        <v>59000</v>
      </c>
      <c r="I38" s="144">
        <f>'Касс.пл.Внеб.(50300) (2)'!I38+'Касс.пл.Внеб.(50320)'!I37</f>
        <v>209000</v>
      </c>
      <c r="J38" s="144">
        <f>'Касс.пл.Внеб.(50300) (2)'!J38+'Касс.пл.Внеб.(50320)'!J37</f>
        <v>209000</v>
      </c>
    </row>
    <row r="39" spans="2:10" ht="21" customHeight="1">
      <c r="B39" s="16" t="s">
        <v>52</v>
      </c>
      <c r="C39" s="8" t="s">
        <v>53</v>
      </c>
      <c r="D39" s="118">
        <f t="shared" si="5"/>
        <v>0</v>
      </c>
      <c r="E39" s="144">
        <f>'Касс.пл.Внеб.(50300) (2)'!E39+'Касс.пл.Внеб.(50320)'!E38</f>
        <v>0</v>
      </c>
      <c r="F39" s="144">
        <f>'Касс.пл.Внеб.(50300) (2)'!F39+'Касс.пл.Внеб.(50320)'!F38</f>
        <v>0</v>
      </c>
      <c r="G39" s="144">
        <f>'Касс.пл.Внеб.(50300) (2)'!G39+'Касс.пл.Внеб.(50320)'!G38</f>
        <v>0</v>
      </c>
      <c r="H39" s="144">
        <f>'Касс.пл.Внеб.(50300) (2)'!H39+'Касс.пл.Внеб.(50320)'!H38</f>
        <v>0</v>
      </c>
      <c r="I39" s="144">
        <f>'Касс.пл.Внеб.(50300) (2)'!I39+'Касс.пл.Внеб.(50320)'!I38</f>
        <v>0</v>
      </c>
      <c r="J39" s="144">
        <f>'Касс.пл.Внеб.(50300) (2)'!J39+'Касс.пл.Внеб.(50320)'!J38</f>
        <v>0</v>
      </c>
    </row>
    <row r="40" spans="2:10" ht="21" customHeight="1">
      <c r="B40" s="16" t="s">
        <v>54</v>
      </c>
      <c r="C40" s="6">
        <v>225</v>
      </c>
      <c r="D40" s="118">
        <f t="shared" si="5"/>
        <v>496500</v>
      </c>
      <c r="E40" s="144">
        <f>'Касс.пл.Внеб.(50300) (2)'!E40+'Касс.пл.Внеб.(50320)'!E39</f>
        <v>137000</v>
      </c>
      <c r="F40" s="144">
        <f>'Касс.пл.Внеб.(50300) (2)'!F40+'Касс.пл.Внеб.(50320)'!F39</f>
        <v>129500</v>
      </c>
      <c r="G40" s="144">
        <f>'Касс.пл.Внеб.(50300) (2)'!G40+'Касс.пл.Внеб.(50320)'!G39</f>
        <v>100000</v>
      </c>
      <c r="H40" s="144">
        <f>'Касс.пл.Внеб.(50300) (2)'!H40+'Касс.пл.Внеб.(50320)'!H39</f>
        <v>130000</v>
      </c>
      <c r="I40" s="144">
        <f>'Касс.пл.Внеб.(50300) (2)'!I40+'Касс.пл.Внеб.(50320)'!I39</f>
        <v>457000</v>
      </c>
      <c r="J40" s="144">
        <f>'Касс.пл.Внеб.(50300) (2)'!J40+'Касс.пл.Внеб.(50320)'!J39</f>
        <v>457000</v>
      </c>
    </row>
    <row r="41" spans="2:10" ht="21" customHeight="1">
      <c r="B41" s="16" t="s">
        <v>32</v>
      </c>
      <c r="C41" s="6"/>
      <c r="D41" s="118">
        <f t="shared" si="5"/>
        <v>0</v>
      </c>
      <c r="E41" s="144">
        <f>'Касс.пл.Внеб.(50300) (2)'!E41+'Касс.пл.Внеб.(50320)'!E40</f>
        <v>0</v>
      </c>
      <c r="F41" s="144">
        <f>'Касс.пл.Внеб.(50300) (2)'!F41+'Касс.пл.Внеб.(50320)'!F40</f>
        <v>0</v>
      </c>
      <c r="G41" s="144">
        <f>'Касс.пл.Внеб.(50300) (2)'!G41+'Касс.пл.Внеб.(50320)'!G40</f>
        <v>0</v>
      </c>
      <c r="H41" s="144">
        <f>'Касс.пл.Внеб.(50300) (2)'!H41+'Касс.пл.Внеб.(50320)'!H40</f>
        <v>0</v>
      </c>
      <c r="I41" s="144">
        <f>'Касс.пл.Внеб.(50300) (2)'!I41+'Касс.пл.Внеб.(50320)'!I40</f>
        <v>0</v>
      </c>
      <c r="J41" s="144">
        <f>'Касс.пл.Внеб.(50300) (2)'!J41+'Касс.пл.Внеб.(50320)'!J40</f>
        <v>0</v>
      </c>
    </row>
    <row r="42" spans="2:10" ht="21" customHeight="1">
      <c r="B42" s="16" t="s">
        <v>204</v>
      </c>
      <c r="C42" s="6"/>
      <c r="D42" s="118">
        <f t="shared" si="5"/>
        <v>11000</v>
      </c>
      <c r="E42" s="144">
        <f>'Касс.пл.Внеб.(50300) (2)'!E42+'Касс.пл.Внеб.(50320)'!E41</f>
        <v>2000</v>
      </c>
      <c r="F42" s="144">
        <f>'Касс.пл.Внеб.(50300) (2)'!F42+'Касс.пл.Внеб.(50320)'!F41</f>
        <v>2750</v>
      </c>
      <c r="G42" s="144">
        <f>'Касс.пл.Внеб.(50300) (2)'!G42+'Касс.пл.Внеб.(50320)'!G41</f>
        <v>2750</v>
      </c>
      <c r="H42" s="144">
        <f>'Касс.пл.Внеб.(50300) (2)'!H42+'Касс.пл.Внеб.(50320)'!H41</f>
        <v>3500</v>
      </c>
      <c r="I42" s="144">
        <f>'Касс.пл.Внеб.(50300) (2)'!I42+'Касс.пл.Внеб.(50320)'!I41</f>
        <v>3450</v>
      </c>
      <c r="J42" s="144">
        <f>'Касс.пл.Внеб.(50300) (2)'!J42+'Касс.пл.Внеб.(50320)'!J41</f>
        <v>3450</v>
      </c>
    </row>
    <row r="43" spans="2:10" ht="21" customHeight="1">
      <c r="B43" s="16" t="s">
        <v>110</v>
      </c>
      <c r="C43" s="6">
        <v>226</v>
      </c>
      <c r="D43" s="118">
        <f t="shared" si="5"/>
        <v>1081000</v>
      </c>
      <c r="E43" s="144">
        <f>'Касс.пл.Внеб.(50300) (2)'!E43+'Касс.пл.Внеб.(50320)'!E42</f>
        <v>306300</v>
      </c>
      <c r="F43" s="144">
        <f>'Касс.пл.Внеб.(50300) (2)'!F43+'Касс.пл.Внеб.(50320)'!F42</f>
        <v>264000</v>
      </c>
      <c r="G43" s="144">
        <f>'Касс.пл.Внеб.(50300) (2)'!G43+'Касс.пл.Внеб.(50320)'!G42</f>
        <v>235700</v>
      </c>
      <c r="H43" s="144">
        <f>'Касс.пл.Внеб.(50300) (2)'!H43+'Касс.пл.Внеб.(50320)'!H42</f>
        <v>275000</v>
      </c>
      <c r="I43" s="144">
        <f>'Касс.пл.Внеб.(50300) (2)'!I43+'Касс.пл.Внеб.(50320)'!I42</f>
        <v>527000</v>
      </c>
      <c r="J43" s="144">
        <f>'Касс.пл.Внеб.(50300) (2)'!J43+'Касс.пл.Внеб.(50320)'!J42</f>
        <v>527000</v>
      </c>
    </row>
    <row r="44" spans="2:10" ht="21" customHeight="1">
      <c r="B44" s="16" t="s">
        <v>32</v>
      </c>
      <c r="C44" s="6"/>
      <c r="D44" s="118">
        <f t="shared" si="5"/>
        <v>0</v>
      </c>
      <c r="E44" s="144">
        <f>'Касс.пл.Внеб.(50300) (2)'!E44+'Касс.пл.Внеб.(50320)'!E43</f>
        <v>0</v>
      </c>
      <c r="F44" s="144">
        <f>'Касс.пл.Внеб.(50300) (2)'!F44+'Касс.пл.Внеб.(50320)'!F43</f>
        <v>0</v>
      </c>
      <c r="G44" s="144">
        <f>'Касс.пл.Внеб.(50300) (2)'!G44+'Касс.пл.Внеб.(50320)'!G43</f>
        <v>0</v>
      </c>
      <c r="H44" s="144">
        <f>'Касс.пл.Внеб.(50300) (2)'!H44+'Касс.пл.Внеб.(50320)'!H43</f>
        <v>0</v>
      </c>
      <c r="I44" s="144">
        <f>'Касс.пл.Внеб.(50300) (2)'!I44+'Касс.пл.Внеб.(50320)'!I43</f>
        <v>0</v>
      </c>
      <c r="J44" s="144">
        <f>'Касс.пл.Внеб.(50300) (2)'!J44+'Касс.пл.Внеб.(50320)'!J43</f>
        <v>0</v>
      </c>
    </row>
    <row r="45" spans="2:10" ht="21" customHeight="1">
      <c r="B45" s="16" t="s">
        <v>205</v>
      </c>
      <c r="C45" s="6"/>
      <c r="D45" s="118">
        <f t="shared" si="5"/>
        <v>0</v>
      </c>
      <c r="E45" s="144">
        <f>'Касс.пл.Внеб.(50300) (2)'!E45+'Касс.пл.Внеб.(50320)'!E44</f>
        <v>0</v>
      </c>
      <c r="F45" s="144">
        <f>'Касс.пл.Внеб.(50300) (2)'!F45+'Касс.пл.Внеб.(50320)'!F44</f>
        <v>0</v>
      </c>
      <c r="G45" s="144">
        <f>'Касс.пл.Внеб.(50300) (2)'!G45+'Касс.пл.Внеб.(50320)'!G44</f>
        <v>0</v>
      </c>
      <c r="H45" s="144">
        <f>'Касс.пл.Внеб.(50300) (2)'!H45+'Касс.пл.Внеб.(50320)'!H44</f>
        <v>0</v>
      </c>
      <c r="I45" s="144">
        <f>'Касс.пл.Внеб.(50300) (2)'!I45+'Касс.пл.Внеб.(50320)'!I44</f>
        <v>0</v>
      </c>
      <c r="J45" s="144">
        <f>'Касс.пл.Внеб.(50300) (2)'!J45+'Касс.пл.Внеб.(50320)'!J44</f>
        <v>0</v>
      </c>
    </row>
    <row r="46" spans="2:10" ht="21" customHeight="1">
      <c r="B46" s="17" t="s">
        <v>103</v>
      </c>
      <c r="C46" s="9">
        <v>240</v>
      </c>
      <c r="D46" s="117">
        <f t="shared" si="5"/>
        <v>0</v>
      </c>
      <c r="E46" s="117">
        <f aca="true" t="shared" si="6" ref="E46:J46">E48</f>
        <v>0</v>
      </c>
      <c r="F46" s="117">
        <f t="shared" si="6"/>
        <v>0</v>
      </c>
      <c r="G46" s="117">
        <f t="shared" si="6"/>
        <v>0</v>
      </c>
      <c r="H46" s="117">
        <f t="shared" si="6"/>
        <v>0</v>
      </c>
      <c r="I46" s="117">
        <f t="shared" si="6"/>
        <v>0</v>
      </c>
      <c r="J46" s="117">
        <f t="shared" si="6"/>
        <v>0</v>
      </c>
    </row>
    <row r="47" spans="2:10" ht="12.75" customHeight="1">
      <c r="B47" s="16" t="s">
        <v>32</v>
      </c>
      <c r="C47" s="6"/>
      <c r="D47" s="117"/>
      <c r="E47" s="143"/>
      <c r="F47" s="143"/>
      <c r="G47" s="143"/>
      <c r="H47" s="143"/>
      <c r="I47" s="143"/>
      <c r="J47" s="143"/>
    </row>
    <row r="48" spans="2:10" ht="31.5" customHeight="1">
      <c r="B48" s="18" t="s">
        <v>104</v>
      </c>
      <c r="C48" s="8" t="s">
        <v>55</v>
      </c>
      <c r="D48" s="117">
        <f>E48+F48+G48+H48</f>
        <v>0</v>
      </c>
      <c r="E48" s="144">
        <f>'Касс.пл.Внеб.(50300) (2)'!E48+'Касс.пл.Внеб.(50320)'!E47</f>
        <v>0</v>
      </c>
      <c r="F48" s="144">
        <f>'Касс.пл.Внеб.(50300) (2)'!F48+'Касс.пл.Внеб.(50320)'!F47</f>
        <v>0</v>
      </c>
      <c r="G48" s="144">
        <f>'Касс.пл.Внеб.(50300) (2)'!G48+'Касс.пл.Внеб.(50320)'!G47</f>
        <v>0</v>
      </c>
      <c r="H48" s="144">
        <f>'Касс.пл.Внеб.(50300) (2)'!H48+'Касс.пл.Внеб.(50320)'!H47</f>
        <v>0</v>
      </c>
      <c r="I48" s="144">
        <f>'Касс.пл.Внеб.(50300) (2)'!I48+'Касс.пл.Внеб.(50320)'!I47</f>
        <v>0</v>
      </c>
      <c r="J48" s="144">
        <f>'Касс.пл.Внеб.(50300) (2)'!J48+'Касс.пл.Внеб.(50320)'!J47</f>
        <v>0</v>
      </c>
    </row>
    <row r="49" spans="2:10" ht="21" customHeight="1">
      <c r="B49" s="17" t="s">
        <v>56</v>
      </c>
      <c r="C49" s="10" t="s">
        <v>57</v>
      </c>
      <c r="D49" s="117">
        <f>D51+D52</f>
        <v>0</v>
      </c>
      <c r="E49" s="117">
        <f aca="true" t="shared" si="7" ref="E49:J49">E51+E52</f>
        <v>0</v>
      </c>
      <c r="F49" s="117">
        <f t="shared" si="7"/>
        <v>0</v>
      </c>
      <c r="G49" s="117">
        <f t="shared" si="7"/>
        <v>0</v>
      </c>
      <c r="H49" s="117">
        <f t="shared" si="7"/>
        <v>0</v>
      </c>
      <c r="I49" s="117">
        <f t="shared" si="7"/>
        <v>0</v>
      </c>
      <c r="J49" s="117">
        <f t="shared" si="7"/>
        <v>0</v>
      </c>
    </row>
    <row r="50" spans="2:10" ht="9.75" customHeight="1">
      <c r="B50" s="16" t="s">
        <v>32</v>
      </c>
      <c r="C50" s="7"/>
      <c r="D50" s="118"/>
      <c r="E50" s="143"/>
      <c r="F50" s="143"/>
      <c r="G50" s="143"/>
      <c r="H50" s="143"/>
      <c r="I50" s="143"/>
      <c r="J50" s="143"/>
    </row>
    <row r="51" spans="2:10" ht="21" customHeight="1">
      <c r="B51" s="16" t="s">
        <v>58</v>
      </c>
      <c r="C51" s="8" t="s">
        <v>59</v>
      </c>
      <c r="D51" s="117">
        <f>E51+F51+G51+H51</f>
        <v>0</v>
      </c>
      <c r="E51" s="144">
        <f>'Касс.пл.Внеб.(50300) (2)'!E51+'Касс.пл.Внеб.(50320)'!E50</f>
        <v>0</v>
      </c>
      <c r="F51" s="144">
        <f>'Касс.пл.Внеб.(50300) (2)'!F51+'Касс.пл.Внеб.(50320)'!F50</f>
        <v>0</v>
      </c>
      <c r="G51" s="144">
        <f>'Касс.пл.Внеб.(50300) (2)'!G51+'Касс.пл.Внеб.(50320)'!G50</f>
        <v>0</v>
      </c>
      <c r="H51" s="144">
        <f>'Касс.пл.Внеб.(50300) (2)'!H51+'Касс.пл.Внеб.(50320)'!H50</f>
        <v>0</v>
      </c>
      <c r="I51" s="144">
        <f>'Касс.пл.Внеб.(50300) (2)'!I51+'Касс.пл.Внеб.(50320)'!I50</f>
        <v>0</v>
      </c>
      <c r="J51" s="144">
        <f>'Касс.пл.Внеб.(50300) (2)'!J51+'Касс.пл.Внеб.(50320)'!J50</f>
        <v>0</v>
      </c>
    </row>
    <row r="52" spans="2:10" ht="35.45" customHeight="1">
      <c r="B52" s="16" t="s">
        <v>60</v>
      </c>
      <c r="C52" s="8" t="s">
        <v>61</v>
      </c>
      <c r="D52" s="117">
        <f>E52+F52+G52+H52</f>
        <v>0</v>
      </c>
      <c r="E52" s="144">
        <f>'Касс.пл.Внеб.(50300) (2)'!E52+'Касс.пл.Внеб.(50320)'!E51</f>
        <v>0</v>
      </c>
      <c r="F52" s="144">
        <f>'Касс.пл.Внеб.(50300) (2)'!F52+'Касс.пл.Внеб.(50320)'!F51</f>
        <v>0</v>
      </c>
      <c r="G52" s="144">
        <f>'Касс.пл.Внеб.(50300) (2)'!G52+'Касс.пл.Внеб.(50320)'!G51</f>
        <v>0</v>
      </c>
      <c r="H52" s="144">
        <f>'Касс.пл.Внеб.(50300) (2)'!H52+'Касс.пл.Внеб.(50320)'!H51</f>
        <v>0</v>
      </c>
      <c r="I52" s="144">
        <f>'Касс.пл.Внеб.(50300) (2)'!I52+'Касс.пл.Внеб.(50320)'!I51</f>
        <v>0</v>
      </c>
      <c r="J52" s="144">
        <f>'Касс.пл.Внеб.(50300) (2)'!J52+'Касс.пл.Внеб.(50320)'!J51</f>
        <v>0</v>
      </c>
    </row>
    <row r="53" spans="2:10" ht="21" customHeight="1">
      <c r="B53" s="17" t="s">
        <v>62</v>
      </c>
      <c r="C53" s="10" t="s">
        <v>63</v>
      </c>
      <c r="D53" s="117">
        <f>E53+F53+G53+H53</f>
        <v>75000</v>
      </c>
      <c r="E53" s="145">
        <f>'Касс.пл.Внеб.(50300) (2)'!E53+'Касс.пл.Внеб.(50320)'!E52</f>
        <v>0</v>
      </c>
      <c r="F53" s="145">
        <f>'Касс.пл.Внеб.(50300) (2)'!F53+'Касс.пл.Внеб.(50320)'!F52</f>
        <v>40000</v>
      </c>
      <c r="G53" s="145">
        <f>'Касс.пл.Внеб.(50300) (2)'!G53+'Касс.пл.Внеб.(50320)'!G52</f>
        <v>35000</v>
      </c>
      <c r="H53" s="145">
        <f>'Касс.пл.Внеб.(50300) (2)'!H53+'Касс.пл.Внеб.(50320)'!H52</f>
        <v>0</v>
      </c>
      <c r="I53" s="145">
        <f>'Касс.пл.Внеб.(50300) (2)'!I53+'Касс.пл.Внеб.(50320)'!I52</f>
        <v>75000</v>
      </c>
      <c r="J53" s="145">
        <f>'Касс.пл.Внеб.(50300) (2)'!J53+'Касс.пл.Внеб.(50320)'!J52</f>
        <v>75000</v>
      </c>
    </row>
    <row r="54" spans="2:10" ht="24" customHeight="1">
      <c r="B54" s="17" t="s">
        <v>64</v>
      </c>
      <c r="C54" s="10" t="s">
        <v>65</v>
      </c>
      <c r="D54" s="117">
        <f aca="true" t="shared" si="8" ref="D54:J54">D56+D57+D58+D59</f>
        <v>7747666.28</v>
      </c>
      <c r="E54" s="117">
        <f t="shared" si="8"/>
        <v>2040666.28</v>
      </c>
      <c r="F54" s="117">
        <f t="shared" si="8"/>
        <v>2048000</v>
      </c>
      <c r="G54" s="117">
        <f t="shared" si="8"/>
        <v>1932000</v>
      </c>
      <c r="H54" s="117">
        <f t="shared" si="8"/>
        <v>1727000</v>
      </c>
      <c r="I54" s="117">
        <f t="shared" si="8"/>
        <v>7517000</v>
      </c>
      <c r="J54" s="117">
        <f t="shared" si="8"/>
        <v>7477000</v>
      </c>
    </row>
    <row r="55" spans="2:10" ht="10.5" customHeight="1">
      <c r="B55" s="16" t="s">
        <v>32</v>
      </c>
      <c r="C55" s="7"/>
      <c r="D55" s="118"/>
      <c r="E55" s="143"/>
      <c r="F55" s="143"/>
      <c r="G55" s="143"/>
      <c r="H55" s="143"/>
      <c r="I55" s="143"/>
      <c r="J55" s="143"/>
    </row>
    <row r="56" spans="2:10" ht="24" customHeight="1">
      <c r="B56" s="16" t="s">
        <v>66</v>
      </c>
      <c r="C56" s="8" t="s">
        <v>67</v>
      </c>
      <c r="D56" s="118">
        <f>E56+F56+G56+H56</f>
        <v>1021000</v>
      </c>
      <c r="E56" s="144">
        <f>'Касс.пл.Внеб.(50300) (2)'!E56+'Касс.пл.Внеб.(50320)'!E55</f>
        <v>0</v>
      </c>
      <c r="F56" s="144">
        <f>'Касс.пл.Внеб.(50300) (2)'!F56+'Касс.пл.Внеб.(50320)'!F55</f>
        <v>500000</v>
      </c>
      <c r="G56" s="144">
        <f>'Касс.пл.Внеб.(50300) (2)'!G56+'Касс.пл.Внеб.(50320)'!G55</f>
        <v>249000</v>
      </c>
      <c r="H56" s="144">
        <f>'Касс.пл.Внеб.(50300) (2)'!H56+'Касс.пл.Внеб.(50320)'!H55</f>
        <v>272000</v>
      </c>
      <c r="I56" s="144">
        <f>'Касс.пл.Внеб.(50300) (2)'!I56+'Касс.пл.Внеб.(50320)'!I55</f>
        <v>774000</v>
      </c>
      <c r="J56" s="144">
        <f>'Касс.пл.Внеб.(50300) (2)'!J56+'Касс.пл.Внеб.(50320)'!J55</f>
        <v>774000</v>
      </c>
    </row>
    <row r="57" spans="2:10" ht="23.25" customHeight="1">
      <c r="B57" s="16" t="s">
        <v>68</v>
      </c>
      <c r="C57" s="8" t="s">
        <v>69</v>
      </c>
      <c r="D57" s="118">
        <f>E57+F57+G57+H57</f>
        <v>0</v>
      </c>
      <c r="E57" s="144">
        <f>'Касс.пл.Внеб.(50300) (2)'!E57+'Касс.пл.Внеб.(50320)'!E56</f>
        <v>0</v>
      </c>
      <c r="F57" s="144">
        <f>'Касс.пл.Внеб.(50300) (2)'!F57+'Касс.пл.Внеб.(50320)'!F56</f>
        <v>0</v>
      </c>
      <c r="G57" s="144">
        <f>'Касс.пл.Внеб.(50300) (2)'!G57+'Касс.пл.Внеб.(50320)'!G56</f>
        <v>0</v>
      </c>
      <c r="H57" s="144">
        <f>'Касс.пл.Внеб.(50300) (2)'!H57+'Касс.пл.Внеб.(50320)'!H56</f>
        <v>0</v>
      </c>
      <c r="I57" s="144">
        <f>'Касс.пл.Внеб.(50300) (2)'!I57+'Касс.пл.Внеб.(50320)'!I56</f>
        <v>0</v>
      </c>
      <c r="J57" s="144">
        <f>'Касс.пл.Внеб.(50300) (2)'!J57+'Касс.пл.Внеб.(50320)'!J56</f>
        <v>0</v>
      </c>
    </row>
    <row r="58" spans="2:10" ht="26.25" customHeight="1">
      <c r="B58" s="16" t="s">
        <v>80</v>
      </c>
      <c r="C58" s="8" t="s">
        <v>81</v>
      </c>
      <c r="D58" s="118">
        <f>E58+F58+G58+H58</f>
        <v>0</v>
      </c>
      <c r="E58" s="144">
        <f>'Касс.пл.Внеб.(50300) (2)'!E58+'Касс.пл.Внеб.(50320)'!E57</f>
        <v>0</v>
      </c>
      <c r="F58" s="144">
        <f>'Касс.пл.Внеб.(50300) (2)'!F58+'Касс.пл.Внеб.(50320)'!F57</f>
        <v>0</v>
      </c>
      <c r="G58" s="144">
        <f>'Касс.пл.Внеб.(50300) (2)'!G58+'Касс.пл.Внеб.(50320)'!G57</f>
        <v>0</v>
      </c>
      <c r="H58" s="144">
        <f>'Касс.пл.Внеб.(50300) (2)'!H58+'Касс.пл.Внеб.(50320)'!H57</f>
        <v>0</v>
      </c>
      <c r="I58" s="144">
        <f>'Касс.пл.Внеб.(50300) (2)'!I58+'Касс.пл.Внеб.(50320)'!I57</f>
        <v>0</v>
      </c>
      <c r="J58" s="144">
        <f>'Касс.пл.Внеб.(50300) (2)'!J58+'Касс.пл.Внеб.(50320)'!J57</f>
        <v>0</v>
      </c>
    </row>
    <row r="59" spans="2:10" ht="21" customHeight="1">
      <c r="B59" s="16" t="s">
        <v>70</v>
      </c>
      <c r="C59" s="8" t="s">
        <v>71</v>
      </c>
      <c r="D59" s="118">
        <f>E59+F59+G59+H59</f>
        <v>6726666.28</v>
      </c>
      <c r="E59" s="144">
        <f>'Касс.пл.Внеб.(50300) (2)'!E59+'Касс.пл.Внеб.(50320)'!E58</f>
        <v>2040666.28</v>
      </c>
      <c r="F59" s="144">
        <f>'Касс.пл.Внеб.(50300) (2)'!F59+'Касс.пл.Внеб.(50320)'!F58</f>
        <v>1548000</v>
      </c>
      <c r="G59" s="144">
        <f>'Касс.пл.Внеб.(50300) (2)'!G59+'Касс.пл.Внеб.(50320)'!G58</f>
        <v>1683000</v>
      </c>
      <c r="H59" s="144">
        <f>'Касс.пл.Внеб.(50300) (2)'!H59+'Касс.пл.Внеб.(50320)'!H58</f>
        <v>1455000</v>
      </c>
      <c r="I59" s="144">
        <f>'Касс.пл.Внеб.(50300) (2)'!I59+'Касс.пл.Внеб.(50320)'!I58</f>
        <v>6743000</v>
      </c>
      <c r="J59" s="144">
        <f>'Касс.пл.Внеб.(50300) (2)'!J59+'Касс.пл.Внеб.(50320)'!J58</f>
        <v>6703000</v>
      </c>
    </row>
    <row r="60" spans="2:10" ht="21" customHeight="1">
      <c r="B60" s="16" t="s">
        <v>32</v>
      </c>
      <c r="C60" s="8"/>
      <c r="D60" s="118">
        <f aca="true" t="shared" si="9" ref="D60:D64">E60+F60+G60+H60</f>
        <v>0</v>
      </c>
      <c r="E60" s="144">
        <f>'Касс.пл.Внеб.(50300) (2)'!E60+'Касс.пл.Внеб.(50320)'!E59</f>
        <v>0</v>
      </c>
      <c r="F60" s="144">
        <f>'Касс.пл.Внеб.(50300) (2)'!F60+'Касс.пл.Внеб.(50320)'!F59</f>
        <v>0</v>
      </c>
      <c r="G60" s="144">
        <f>'Касс.пл.Внеб.(50300) (2)'!G60+'Касс.пл.Внеб.(50320)'!G59</f>
        <v>0</v>
      </c>
      <c r="H60" s="144">
        <f>'Касс.пл.Внеб.(50300) (2)'!H60+'Касс.пл.Внеб.(50320)'!H59</f>
        <v>0</v>
      </c>
      <c r="I60" s="144">
        <f>'Касс.пл.Внеб.(50300) (2)'!I60+'Касс.пл.Внеб.(50320)'!I59</f>
        <v>0</v>
      </c>
      <c r="J60" s="144">
        <f>'Касс.пл.Внеб.(50300) (2)'!J60+'Касс.пл.Внеб.(50320)'!J59</f>
        <v>0</v>
      </c>
    </row>
    <row r="61" spans="2:10" ht="21" customHeight="1">
      <c r="B61" s="16" t="s">
        <v>206</v>
      </c>
      <c r="C61" s="8"/>
      <c r="D61" s="118">
        <f t="shared" si="9"/>
        <v>4617251.28</v>
      </c>
      <c r="E61" s="144">
        <f>'Касс.пл.Внеб.(50300) (2)'!E61+'Касс.пл.Внеб.(50320)'!E60</f>
        <v>1164851.28</v>
      </c>
      <c r="F61" s="144">
        <f>'Касс.пл.Внеб.(50300) (2)'!F61+'Касс.пл.Внеб.(50320)'!F60</f>
        <v>1101200</v>
      </c>
      <c r="G61" s="144">
        <f>'Касс.пл.Внеб.(50300) (2)'!G61+'Касс.пл.Внеб.(50320)'!G60</f>
        <v>1151200</v>
      </c>
      <c r="H61" s="144">
        <f>'Касс.пл.Внеб.(50300) (2)'!H61+'Касс.пл.Внеб.(50320)'!H60</f>
        <v>1200000</v>
      </c>
      <c r="I61" s="144">
        <f>'Касс.пл.Внеб.(50300) (2)'!I61+'Касс.пл.Внеб.(50320)'!I60</f>
        <v>4600000</v>
      </c>
      <c r="J61" s="144">
        <f>'Касс.пл.Внеб.(50300) (2)'!J61+'Касс.пл.Внеб.(50320)'!J60</f>
        <v>4600000</v>
      </c>
    </row>
    <row r="62" spans="2:10" ht="21" customHeight="1">
      <c r="B62" s="16" t="s">
        <v>207</v>
      </c>
      <c r="C62" s="8"/>
      <c r="D62" s="118">
        <f t="shared" si="9"/>
        <v>166085</v>
      </c>
      <c r="E62" s="144">
        <f>'Касс.пл.Внеб.(50300) (2)'!E62+'Касс.пл.Внеб.(50320)'!E61</f>
        <v>50085</v>
      </c>
      <c r="F62" s="144">
        <f>'Касс.пл.Внеб.(50300) (2)'!F62+'Касс.пл.Внеб.(50320)'!F61</f>
        <v>50000</v>
      </c>
      <c r="G62" s="144">
        <f>'Касс.пл.Внеб.(50300) (2)'!G62+'Касс.пл.Внеб.(50320)'!G61</f>
        <v>35000</v>
      </c>
      <c r="H62" s="144">
        <f>'Касс.пл.Внеб.(50300) (2)'!H62+'Касс.пл.Внеб.(50320)'!H61</f>
        <v>31000</v>
      </c>
      <c r="I62" s="144">
        <f>'Касс.пл.Внеб.(50300) (2)'!I62+'Касс.пл.Внеб.(50320)'!I61</f>
        <v>183000</v>
      </c>
      <c r="J62" s="144">
        <f>'Касс.пл.Внеб.(50300) (2)'!J62+'Касс.пл.Внеб.(50320)'!J61</f>
        <v>183000</v>
      </c>
    </row>
    <row r="63" spans="2:10" ht="21" customHeight="1">
      <c r="B63" s="16" t="s">
        <v>208</v>
      </c>
      <c r="C63" s="8"/>
      <c r="D63" s="118">
        <f t="shared" si="9"/>
        <v>454358</v>
      </c>
      <c r="E63" s="144">
        <f>'Касс.пл.Внеб.(50300) (2)'!E63+'Касс.пл.Внеб.(50320)'!E62</f>
        <v>115000</v>
      </c>
      <c r="F63" s="144">
        <f>'Касс.пл.Внеб.(50300) (2)'!F63+'Касс.пл.Внеб.(50320)'!F62</f>
        <v>114679</v>
      </c>
      <c r="G63" s="144">
        <f>'Касс.пл.Внеб.(50300) (2)'!G63+'Касс.пл.Внеб.(50320)'!G62</f>
        <v>114679</v>
      </c>
      <c r="H63" s="144">
        <f>'Касс.пл.Внеб.(50300) (2)'!H63+'Касс.пл.Внеб.(50320)'!H62</f>
        <v>110000</v>
      </c>
      <c r="I63" s="144">
        <f>'Касс.пл.Внеб.(50300) (2)'!I63+'Касс.пл.Внеб.(50320)'!I62</f>
        <v>460000</v>
      </c>
      <c r="J63" s="144">
        <f>'Касс.пл.Внеб.(50300) (2)'!J63+'Касс.пл.Внеб.(50320)'!J62</f>
        <v>460000</v>
      </c>
    </row>
    <row r="64" spans="2:10" ht="21" customHeight="1">
      <c r="B64" s="16" t="s">
        <v>209</v>
      </c>
      <c r="C64" s="8"/>
      <c r="D64" s="118">
        <f t="shared" si="9"/>
        <v>550207</v>
      </c>
      <c r="E64" s="144">
        <f>'Касс.пл.Внеб.(50300) (2)'!E64+'Касс.пл.Внеб.(50320)'!E63</f>
        <v>220000</v>
      </c>
      <c r="F64" s="144">
        <f>'Касс.пл.Внеб.(50300) (2)'!F64+'Касс.пл.Внеб.(50320)'!F63</f>
        <v>167000</v>
      </c>
      <c r="G64" s="144">
        <f>'Касс.пл.Внеб.(50300) (2)'!G64+'Касс.пл.Внеб.(50320)'!G63</f>
        <v>126000</v>
      </c>
      <c r="H64" s="144">
        <f>'Касс.пл.Внеб.(50300) (2)'!H64+'Касс.пл.Внеб.(50320)'!H63</f>
        <v>37207</v>
      </c>
      <c r="I64" s="144">
        <f>'Касс.пл.Внеб.(50300) (2)'!I64+'Касс.пл.Внеб.(50320)'!I63</f>
        <v>600000</v>
      </c>
      <c r="J64" s="144">
        <f>'Касс.пл.Внеб.(50300) (2)'!J64+'Касс.пл.Внеб.(50320)'!J63</f>
        <v>600000</v>
      </c>
    </row>
    <row r="65" spans="2:10" ht="21" customHeight="1">
      <c r="B65" s="17" t="s">
        <v>72</v>
      </c>
      <c r="C65" s="10" t="s">
        <v>73</v>
      </c>
      <c r="D65" s="117">
        <f>D67+D68</f>
        <v>0</v>
      </c>
      <c r="E65" s="117">
        <f aca="true" t="shared" si="10" ref="E65:J65">E67+E68</f>
        <v>0</v>
      </c>
      <c r="F65" s="117">
        <f t="shared" si="10"/>
        <v>0</v>
      </c>
      <c r="G65" s="117">
        <f t="shared" si="10"/>
        <v>0</v>
      </c>
      <c r="H65" s="117">
        <f t="shared" si="10"/>
        <v>0</v>
      </c>
      <c r="I65" s="117">
        <f t="shared" si="10"/>
        <v>0</v>
      </c>
      <c r="J65" s="117">
        <f t="shared" si="10"/>
        <v>0</v>
      </c>
    </row>
    <row r="66" spans="2:10" ht="10.5" customHeight="1">
      <c r="B66" s="16" t="s">
        <v>32</v>
      </c>
      <c r="C66" s="7"/>
      <c r="D66" s="117"/>
      <c r="E66" s="143"/>
      <c r="F66" s="143"/>
      <c r="G66" s="143"/>
      <c r="H66" s="143"/>
      <c r="I66" s="143"/>
      <c r="J66" s="143"/>
    </row>
    <row r="67" spans="2:10" ht="33.6" customHeight="1">
      <c r="B67" s="16" t="s">
        <v>74</v>
      </c>
      <c r="C67" s="8" t="s">
        <v>75</v>
      </c>
      <c r="D67" s="117">
        <f>D69+D70</f>
        <v>0</v>
      </c>
      <c r="E67" s="144">
        <f>'Касс.пл.Внеб.(50300) (2)'!E67+'Касс.пл.Внеб.(50320)'!E66</f>
        <v>0</v>
      </c>
      <c r="F67" s="144">
        <f>'Касс.пл.Внеб.(50300) (2)'!F67+'Касс.пл.Внеб.(50320)'!F66</f>
        <v>0</v>
      </c>
      <c r="G67" s="144">
        <f>'Касс.пл.Внеб.(50300) (2)'!G67+'Касс.пл.Внеб.(50320)'!G66</f>
        <v>0</v>
      </c>
      <c r="H67" s="144">
        <f>'Касс.пл.Внеб.(50300) (2)'!H67+'Касс.пл.Внеб.(50320)'!H66</f>
        <v>0</v>
      </c>
      <c r="I67" s="144">
        <f>'Касс.пл.Внеб.(50300) (2)'!I67+'Касс.пл.Внеб.(50320)'!I66</f>
        <v>0</v>
      </c>
      <c r="J67" s="144">
        <f>'Касс.пл.Внеб.(50300) (2)'!J67+'Касс.пл.Внеб.(50320)'!J66</f>
        <v>0</v>
      </c>
    </row>
    <row r="68" spans="2:10" ht="31.15" customHeight="1">
      <c r="B68" s="16" t="s">
        <v>76</v>
      </c>
      <c r="C68" s="8" t="s">
        <v>77</v>
      </c>
      <c r="D68" s="117">
        <f>D70+D71</f>
        <v>0</v>
      </c>
      <c r="E68" s="144">
        <f>'Касс.пл.Внеб.(50300) (2)'!E68+'Касс.пл.Внеб.(50320)'!E67</f>
        <v>0</v>
      </c>
      <c r="F68" s="144">
        <f>'Касс.пл.Внеб.(50300) (2)'!F68+'Касс.пл.Внеб.(50320)'!F67</f>
        <v>0</v>
      </c>
      <c r="G68" s="144">
        <f>'Касс.пл.Внеб.(50300) (2)'!G68+'Касс.пл.Внеб.(50320)'!G67</f>
        <v>0</v>
      </c>
      <c r="H68" s="144">
        <f>'Касс.пл.Внеб.(50300) (2)'!H68+'Касс.пл.Внеб.(50320)'!H67</f>
        <v>0</v>
      </c>
      <c r="I68" s="144">
        <f>'Касс.пл.Внеб.(50300) (2)'!I68+'Касс.пл.Внеб.(50320)'!I67</f>
        <v>0</v>
      </c>
      <c r="J68" s="144">
        <f>'Касс.пл.Внеб.(50300) (2)'!J68+'Касс.пл.Внеб.(50320)'!J67</f>
        <v>0</v>
      </c>
    </row>
    <row r="69" spans="2:10" ht="12" customHeight="1">
      <c r="B69" s="16" t="s">
        <v>78</v>
      </c>
      <c r="C69" s="7"/>
      <c r="D69" s="117"/>
      <c r="E69" s="146"/>
      <c r="F69" s="146"/>
      <c r="G69" s="146"/>
      <c r="H69" s="146"/>
      <c r="I69" s="146"/>
      <c r="J69" s="146"/>
    </row>
    <row r="70" spans="2:10" ht="21" customHeight="1">
      <c r="B70" s="16" t="s">
        <v>79</v>
      </c>
      <c r="C70" s="8" t="s">
        <v>36</v>
      </c>
      <c r="D70" s="117">
        <f>D72+D73</f>
        <v>0</v>
      </c>
      <c r="E70" s="144">
        <f>'Касс.пл.Внеб.(50300) (2)'!E70+'Касс.пл.Внеб.(50320)'!E69</f>
        <v>0</v>
      </c>
      <c r="F70" s="144">
        <f>'Касс.пл.Внеб.(50300) (2)'!F70+'Касс.пл.Внеб.(50320)'!F69</f>
        <v>0</v>
      </c>
      <c r="G70" s="144">
        <f>'Касс.пл.Внеб.(50300) (2)'!G70+'Касс.пл.Внеб.(50320)'!G69</f>
        <v>0</v>
      </c>
      <c r="H70" s="144">
        <f>'Касс.пл.Внеб.(50300) (2)'!H70+'Касс.пл.Внеб.(50320)'!H69</f>
        <v>0</v>
      </c>
      <c r="I70" s="144">
        <f>'Касс.пл.Внеб.(50300) (2)'!I70+'Касс.пл.Внеб.(50320)'!I69</f>
        <v>0</v>
      </c>
      <c r="J70" s="144">
        <f>'Касс.пл.Внеб.(50300) (2)'!J70+'Касс.пл.Внеб.(50320)'!J69</f>
        <v>0</v>
      </c>
    </row>
  </sheetData>
  <sheetProtection password="C541" sheet="1" objects="1" scenarios="1" formatCells="0" formatColumns="0" formatRows="0"/>
  <mergeCells count="17">
    <mergeCell ref="B13:J13"/>
    <mergeCell ref="B14:J14"/>
    <mergeCell ref="B15:J15"/>
    <mergeCell ref="B11:J11"/>
    <mergeCell ref="I17:I18"/>
    <mergeCell ref="J17:J18"/>
    <mergeCell ref="B17:B18"/>
    <mergeCell ref="C17:C18"/>
    <mergeCell ref="D17:D18"/>
    <mergeCell ref="E17:H17"/>
    <mergeCell ref="H1:J1"/>
    <mergeCell ref="B12:J12"/>
    <mergeCell ref="G2:J2"/>
    <mergeCell ref="H3:J3"/>
    <mergeCell ref="G5:J5"/>
    <mergeCell ref="G7:J7"/>
    <mergeCell ref="G8:J8"/>
  </mergeCells>
  <printOptions horizontalCentered="1"/>
  <pageMargins left="1.1811023622047245" right="0.1968503937007874" top="0.15748031496062992" bottom="0.15748031496062992" header="0.15748031496062992" footer="0.15748031496062992"/>
  <pageSetup fitToHeight="1" fitToWidth="1" horizontalDpi="600" verticalDpi="600" orientation="portrait" paperSize="9" scale="50" r:id="rId1"/>
  <headerFooter alignWithMargins="0">
    <oddFooter>&amp;C&amp;P</oddFooter>
  </headerFooter>
  <ignoredErrors>
    <ignoredError sqref="C31 C33:C34 C36:C39 C48:C49 C65:C68 C51:C5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A70"/>
  <sheetViews>
    <sheetView view="pageBreakPreview" zoomScale="60" workbookViewId="0" topLeftCell="A62">
      <selection activeCell="E62" sqref="E62"/>
    </sheetView>
  </sheetViews>
  <sheetFormatPr defaultColWidth="9.00390625" defaultRowHeight="12.75"/>
  <cols>
    <col min="1" max="1" width="2.00390625" style="0" customWidth="1"/>
    <col min="2" max="2" width="54.75390625" style="0" customWidth="1"/>
    <col min="3" max="3" width="11.75390625" style="0" customWidth="1"/>
    <col min="4" max="4" width="16.00390625" style="0" customWidth="1"/>
    <col min="5" max="5" width="16.125" style="0" customWidth="1"/>
    <col min="6" max="6" width="15.25390625" style="0" customWidth="1"/>
    <col min="7" max="7" width="15.625" style="0" customWidth="1"/>
    <col min="8" max="8" width="15.375" style="0" customWidth="1"/>
    <col min="9" max="10" width="16.00390625" style="0" customWidth="1"/>
    <col min="11" max="11" width="25.375" style="0" customWidth="1"/>
  </cols>
  <sheetData>
    <row r="1" spans="5:10" ht="12.75">
      <c r="E1" s="94"/>
      <c r="F1" s="94"/>
      <c r="G1" s="37"/>
      <c r="H1" s="408"/>
      <c r="I1" s="408"/>
      <c r="J1" s="408"/>
    </row>
    <row r="2" spans="5:10" ht="12.75" customHeight="1">
      <c r="E2" s="94"/>
      <c r="F2" s="94"/>
      <c r="G2" s="415" t="str">
        <f>'Касс.пл.Внеб.(50300)СВОД'!G2:J2</f>
        <v>к протоколу № 2 от 12.03.2015.</v>
      </c>
      <c r="H2" s="415"/>
      <c r="I2" s="415"/>
      <c r="J2" s="415"/>
    </row>
    <row r="3" spans="5:10" ht="12.75">
      <c r="E3" s="94"/>
      <c r="F3" s="94"/>
      <c r="G3" s="37"/>
      <c r="H3" s="409"/>
      <c r="I3" s="409"/>
      <c r="J3" s="409"/>
    </row>
    <row r="4" spans="5:10" ht="13.15" customHeight="1">
      <c r="E4" s="94"/>
      <c r="F4" s="94"/>
      <c r="G4" s="86"/>
      <c r="H4" s="86"/>
      <c r="I4" s="87" t="s">
        <v>8</v>
      </c>
      <c r="J4" s="86"/>
    </row>
    <row r="5" spans="5:10" ht="12.75" customHeight="1">
      <c r="E5" s="94"/>
      <c r="F5" s="94"/>
      <c r="G5" s="410" t="str">
        <f>'Касс. план (50400)'!G5:J5</f>
        <v>Директор АСУСОН ТО "Ишимский геронтологический центр"</v>
      </c>
      <c r="H5" s="410"/>
      <c r="I5" s="410"/>
      <c r="J5" s="410"/>
    </row>
    <row r="6" spans="5:10" ht="11.45" customHeight="1">
      <c r="E6" s="94"/>
      <c r="F6" s="94"/>
      <c r="G6" s="37"/>
      <c r="H6" s="88"/>
      <c r="I6" s="89" t="s">
        <v>113</v>
      </c>
      <c r="J6" s="88"/>
    </row>
    <row r="7" spans="5:10" ht="15.6" customHeight="1">
      <c r="E7" s="94"/>
      <c r="F7" s="94"/>
      <c r="G7" s="413" t="str">
        <f>'Касс. план (50400)'!G7:J7</f>
        <v>Т.И. Сиюткина</v>
      </c>
      <c r="H7" s="413"/>
      <c r="I7" s="413"/>
      <c r="J7" s="413"/>
    </row>
    <row r="8" spans="5:10" ht="10.9" customHeight="1">
      <c r="E8" s="94"/>
      <c r="F8" s="94"/>
      <c r="G8" s="414" t="s">
        <v>136</v>
      </c>
      <c r="H8" s="414"/>
      <c r="I8" s="414"/>
      <c r="J8" s="414"/>
    </row>
    <row r="9" spans="5:10" ht="12.75">
      <c r="E9" s="94"/>
      <c r="F9" s="94"/>
      <c r="G9" s="128" t="s">
        <v>173</v>
      </c>
      <c r="H9" s="92" t="s">
        <v>202</v>
      </c>
      <c r="I9" s="92"/>
      <c r="J9" s="93"/>
    </row>
    <row r="11" spans="2:10" ht="18">
      <c r="B11" s="438" t="s">
        <v>112</v>
      </c>
      <c r="C11" s="438"/>
      <c r="D11" s="438"/>
      <c r="E11" s="438"/>
      <c r="F11" s="438"/>
      <c r="G11" s="438"/>
      <c r="H11" s="438"/>
      <c r="I11" s="438"/>
      <c r="J11" s="438"/>
    </row>
    <row r="12" spans="2:10" ht="13.9" customHeight="1">
      <c r="B12" s="431" t="s">
        <v>127</v>
      </c>
      <c r="C12" s="431"/>
      <c r="D12" s="431"/>
      <c r="E12" s="431"/>
      <c r="F12" s="431"/>
      <c r="G12" s="431"/>
      <c r="H12" s="431"/>
      <c r="I12" s="431"/>
      <c r="J12" s="431"/>
    </row>
    <row r="13" spans="2:10" ht="16.5">
      <c r="B13" s="436" t="s">
        <v>111</v>
      </c>
      <c r="C13" s="436"/>
      <c r="D13" s="436"/>
      <c r="E13" s="436"/>
      <c r="F13" s="436"/>
      <c r="G13" s="436"/>
      <c r="H13" s="436"/>
      <c r="I13" s="436"/>
      <c r="J13" s="436"/>
    </row>
    <row r="14" spans="2:27" ht="12.75" customHeight="1">
      <c r="B14" s="329" t="str">
        <f>'Касс.пл. ХМАО'!B14</f>
        <v>Автономное стационарное учреждение социального обслуживания населения Тюменской области "Ишимский геронтологический центр"</v>
      </c>
      <c r="C14" s="329"/>
      <c r="D14" s="329"/>
      <c r="E14" s="329"/>
      <c r="F14" s="329"/>
      <c r="G14" s="329"/>
      <c r="H14" s="329"/>
      <c r="I14" s="329"/>
      <c r="J14" s="329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"/>
      <c r="X14" s="1"/>
      <c r="Y14" s="1"/>
      <c r="Z14" s="1"/>
      <c r="AA14" s="1"/>
    </row>
    <row r="15" spans="2:27" ht="16.5">
      <c r="B15" s="437" t="s">
        <v>4</v>
      </c>
      <c r="C15" s="437"/>
      <c r="D15" s="437"/>
      <c r="E15" s="437"/>
      <c r="F15" s="437"/>
      <c r="G15" s="437"/>
      <c r="H15" s="437"/>
      <c r="I15" s="437"/>
      <c r="J15" s="43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2.75">
      <c r="B16" s="5"/>
      <c r="C16" s="5"/>
      <c r="D16" s="5"/>
      <c r="E16" s="5"/>
      <c r="F16" s="5"/>
      <c r="G16" s="21"/>
      <c r="H16" s="5"/>
      <c r="I16" s="5"/>
      <c r="J16" s="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10" ht="12.75">
      <c r="B17" s="432" t="s">
        <v>11</v>
      </c>
      <c r="C17" s="434" t="s">
        <v>35</v>
      </c>
      <c r="D17" s="419" t="s">
        <v>203</v>
      </c>
      <c r="E17" s="428" t="s">
        <v>98</v>
      </c>
      <c r="F17" s="429"/>
      <c r="G17" s="429"/>
      <c r="H17" s="430"/>
      <c r="I17" s="419" t="s">
        <v>143</v>
      </c>
      <c r="J17" s="419" t="s">
        <v>197</v>
      </c>
    </row>
    <row r="18" spans="2:10" ht="18" customHeight="1">
      <c r="B18" s="433"/>
      <c r="C18" s="435"/>
      <c r="D18" s="420"/>
      <c r="E18" s="129" t="s">
        <v>99</v>
      </c>
      <c r="F18" s="129" t="s">
        <v>100</v>
      </c>
      <c r="G18" s="129" t="s">
        <v>101</v>
      </c>
      <c r="H18" s="129" t="s">
        <v>102</v>
      </c>
      <c r="I18" s="420"/>
      <c r="J18" s="420"/>
    </row>
    <row r="19" spans="2:10" ht="18" customHeight="1">
      <c r="B19" s="44" t="s">
        <v>97</v>
      </c>
      <c r="C19" s="45"/>
      <c r="D19" s="114">
        <f>E19+F19+G19+H19</f>
        <v>279666.28</v>
      </c>
      <c r="E19" s="139">
        <f>'Остаток Внеб.(50300)'!E19</f>
        <v>279666.28</v>
      </c>
      <c r="F19" s="139">
        <f>'Остаток Внеб.(50300)'!F19</f>
        <v>0</v>
      </c>
      <c r="G19" s="139">
        <f>'Остаток Внеб.(50300)'!G19</f>
        <v>0</v>
      </c>
      <c r="H19" s="139">
        <f>'Остаток Внеб.(50300)'!H19</f>
        <v>0</v>
      </c>
      <c r="I19" s="139">
        <f>'Остаток Внеб.(50300)'!I19</f>
        <v>0</v>
      </c>
      <c r="J19" s="139">
        <f>'Остаток Внеб.(50300)'!J19</f>
        <v>0</v>
      </c>
    </row>
    <row r="20" spans="2:11" ht="18" customHeight="1">
      <c r="B20" s="44" t="s">
        <v>106</v>
      </c>
      <c r="C20" s="45"/>
      <c r="D20" s="114">
        <f>E20+F20+G20+H20</f>
        <v>14719000</v>
      </c>
      <c r="E20" s="114">
        <f>IF(E22&gt;0,IF((E28-E19)=(E22+E23+E24+E25+E26+E27),E28-E19,"Ошибка!"),0)</f>
        <v>3471200</v>
      </c>
      <c r="F20" s="114">
        <f aca="true" t="shared" si="0" ref="F20:J20">IF(F22&gt;0,IF((F28-F19)=(F22+F23+F24+F25+F26+F27),F28-F19,"Ошибка!"),0)</f>
        <v>3734100</v>
      </c>
      <c r="G20" s="114">
        <f t="shared" si="0"/>
        <v>3748300</v>
      </c>
      <c r="H20" s="114">
        <f t="shared" si="0"/>
        <v>3765400</v>
      </c>
      <c r="I20" s="114">
        <f t="shared" si="0"/>
        <v>13053000</v>
      </c>
      <c r="J20" s="114">
        <f t="shared" si="0"/>
        <v>13053000</v>
      </c>
      <c r="K20" s="113"/>
    </row>
    <row r="21" spans="2:10" ht="11.25" customHeight="1">
      <c r="B21" s="44" t="s">
        <v>33</v>
      </c>
      <c r="C21" s="45"/>
      <c r="D21" s="114"/>
      <c r="E21" s="116"/>
      <c r="F21" s="116"/>
      <c r="G21" s="116"/>
      <c r="H21" s="116"/>
      <c r="I21" s="116"/>
      <c r="J21" s="116"/>
    </row>
    <row r="22" spans="2:10" ht="18" customHeight="1">
      <c r="B22" s="44" t="s">
        <v>140</v>
      </c>
      <c r="C22" s="45">
        <v>130</v>
      </c>
      <c r="D22" s="114">
        <f aca="true" t="shared" si="1" ref="D22:D27">E22+F22+G22+H22</f>
        <v>14702000</v>
      </c>
      <c r="E22" s="115">
        <f>3471200-17000</f>
        <v>3454200</v>
      </c>
      <c r="F22" s="115">
        <v>3734100</v>
      </c>
      <c r="G22" s="115">
        <v>3748300</v>
      </c>
      <c r="H22" s="115">
        <v>3765400</v>
      </c>
      <c r="I22" s="115">
        <v>13053000</v>
      </c>
      <c r="J22" s="115">
        <v>13053000</v>
      </c>
    </row>
    <row r="23" spans="2:10" ht="28.5" customHeight="1">
      <c r="B23" s="44" t="s">
        <v>141</v>
      </c>
      <c r="C23" s="45">
        <v>140</v>
      </c>
      <c r="D23" s="114">
        <f t="shared" si="1"/>
        <v>0</v>
      </c>
      <c r="E23" s="115"/>
      <c r="F23" s="115"/>
      <c r="G23" s="115"/>
      <c r="H23" s="115"/>
      <c r="I23" s="115"/>
      <c r="J23" s="115"/>
    </row>
    <row r="24" spans="2:10" ht="13.5" customHeight="1">
      <c r="B24" s="44" t="s">
        <v>142</v>
      </c>
      <c r="C24" s="45">
        <v>440</v>
      </c>
      <c r="D24" s="114">
        <f t="shared" si="1"/>
        <v>17000</v>
      </c>
      <c r="E24" s="115">
        <v>17000</v>
      </c>
      <c r="F24" s="115"/>
      <c r="G24" s="115"/>
      <c r="H24" s="115"/>
      <c r="I24" s="115"/>
      <c r="J24" s="115"/>
    </row>
    <row r="25" spans="2:10" ht="15" customHeight="1">
      <c r="B25" s="44" t="s">
        <v>131</v>
      </c>
      <c r="C25" s="45">
        <v>180</v>
      </c>
      <c r="D25" s="114">
        <f t="shared" si="1"/>
        <v>0</v>
      </c>
      <c r="E25" s="115"/>
      <c r="F25" s="115"/>
      <c r="G25" s="115"/>
      <c r="H25" s="115"/>
      <c r="I25" s="115"/>
      <c r="J25" s="115"/>
    </row>
    <row r="26" spans="2:10" ht="15" customHeight="1">
      <c r="B26" s="44" t="s">
        <v>132</v>
      </c>
      <c r="C26" s="45">
        <v>180</v>
      </c>
      <c r="D26" s="114">
        <f t="shared" si="1"/>
        <v>0</v>
      </c>
      <c r="E26" s="115"/>
      <c r="F26" s="115"/>
      <c r="G26" s="115"/>
      <c r="H26" s="115"/>
      <c r="I26" s="115"/>
      <c r="J26" s="115"/>
    </row>
    <row r="27" spans="2:10" ht="15" customHeight="1">
      <c r="B27" s="44" t="s">
        <v>190</v>
      </c>
      <c r="C27" s="45">
        <v>120</v>
      </c>
      <c r="D27" s="114">
        <f t="shared" si="1"/>
        <v>0</v>
      </c>
      <c r="E27" s="115"/>
      <c r="F27" s="115"/>
      <c r="G27" s="115"/>
      <c r="H27" s="115"/>
      <c r="I27" s="115"/>
      <c r="J27" s="115"/>
    </row>
    <row r="28" spans="2:10" ht="21" customHeight="1">
      <c r="B28" s="44" t="s">
        <v>38</v>
      </c>
      <c r="C28" s="130"/>
      <c r="D28" s="117">
        <f aca="true" t="shared" si="2" ref="D28:J28">D30+D34+D46+D49+D53+D54+D65</f>
        <v>14998666.280000001</v>
      </c>
      <c r="E28" s="117">
        <f>E30+E34+E46+E49+E53+E54+E65</f>
        <v>3750866.2800000003</v>
      </c>
      <c r="F28" s="117">
        <f t="shared" si="2"/>
        <v>3734100</v>
      </c>
      <c r="G28" s="117">
        <f t="shared" si="2"/>
        <v>3748300</v>
      </c>
      <c r="H28" s="117">
        <f t="shared" si="2"/>
        <v>3765400</v>
      </c>
      <c r="I28" s="117">
        <f t="shared" si="2"/>
        <v>13053000</v>
      </c>
      <c r="J28" s="117">
        <f t="shared" si="2"/>
        <v>13053000</v>
      </c>
    </row>
    <row r="29" spans="2:10" ht="13.9" customHeight="1">
      <c r="B29" s="44" t="s">
        <v>33</v>
      </c>
      <c r="C29" s="130"/>
      <c r="D29" s="118"/>
      <c r="E29" s="119"/>
      <c r="F29" s="119"/>
      <c r="G29" s="119"/>
      <c r="H29" s="119"/>
      <c r="I29" s="119"/>
      <c r="J29" s="119"/>
    </row>
    <row r="30" spans="2:10" ht="27.6" customHeight="1">
      <c r="B30" s="47" t="s">
        <v>105</v>
      </c>
      <c r="C30" s="48">
        <v>210</v>
      </c>
      <c r="D30" s="117">
        <f>D31+D32+D33</f>
        <v>5405800</v>
      </c>
      <c r="E30" s="117">
        <f aca="true" t="shared" si="3" ref="E30:J30">E31+E32+E33</f>
        <v>1222200</v>
      </c>
      <c r="F30" s="117">
        <f t="shared" si="3"/>
        <v>1204600</v>
      </c>
      <c r="G30" s="117">
        <f t="shared" si="3"/>
        <v>1404600</v>
      </c>
      <c r="H30" s="117">
        <f t="shared" si="3"/>
        <v>1574400</v>
      </c>
      <c r="I30" s="117">
        <f t="shared" si="3"/>
        <v>4268000</v>
      </c>
      <c r="J30" s="117">
        <f t="shared" si="3"/>
        <v>4308000</v>
      </c>
    </row>
    <row r="31" spans="2:11" ht="21" customHeight="1">
      <c r="B31" s="16" t="s">
        <v>39</v>
      </c>
      <c r="C31" s="8" t="s">
        <v>40</v>
      </c>
      <c r="D31" s="118">
        <f>E31+F31+G31+H31</f>
        <v>4147500</v>
      </c>
      <c r="E31" s="275">
        <f>860000+80000</f>
        <v>940000</v>
      </c>
      <c r="F31" s="120">
        <f>1040000-120000</f>
        <v>920000</v>
      </c>
      <c r="G31" s="120">
        <f>1040000+40000</f>
        <v>1080000</v>
      </c>
      <c r="H31" s="120">
        <v>1207500</v>
      </c>
      <c r="I31" s="120">
        <v>3280000</v>
      </c>
      <c r="J31" s="120">
        <v>3310000</v>
      </c>
      <c r="K31" s="147"/>
    </row>
    <row r="32" spans="2:11" ht="21" customHeight="1">
      <c r="B32" s="16" t="s">
        <v>41</v>
      </c>
      <c r="C32" s="6">
        <v>212</v>
      </c>
      <c r="D32" s="118">
        <f>E32+F32+G32+H32</f>
        <v>0</v>
      </c>
      <c r="E32" s="120"/>
      <c r="F32" s="120"/>
      <c r="G32" s="120"/>
      <c r="H32" s="120"/>
      <c r="I32" s="120"/>
      <c r="J32" s="120"/>
      <c r="K32" s="147"/>
    </row>
    <row r="33" spans="2:11" ht="21" customHeight="1">
      <c r="B33" s="16" t="s">
        <v>42</v>
      </c>
      <c r="C33" s="8" t="s">
        <v>43</v>
      </c>
      <c r="D33" s="118">
        <f>E33+F33+G33+H33</f>
        <v>1258300</v>
      </c>
      <c r="E33" s="120">
        <f>262200+20000</f>
        <v>282200</v>
      </c>
      <c r="F33" s="120">
        <f>314600-30000</f>
        <v>284600</v>
      </c>
      <c r="G33" s="120">
        <f>314600+10000</f>
        <v>324600</v>
      </c>
      <c r="H33" s="120">
        <v>366900</v>
      </c>
      <c r="I33" s="120">
        <v>988000</v>
      </c>
      <c r="J33" s="120">
        <v>998000</v>
      </c>
      <c r="K33" s="147"/>
    </row>
    <row r="34" spans="2:11" ht="21" customHeight="1">
      <c r="B34" s="17" t="s">
        <v>44</v>
      </c>
      <c r="C34" s="10" t="s">
        <v>45</v>
      </c>
      <c r="D34" s="117">
        <f aca="true" t="shared" si="4" ref="D34:J34">D36+D37+D38+D39+D40+D43</f>
        <v>1770200</v>
      </c>
      <c r="E34" s="117">
        <f t="shared" si="4"/>
        <v>488000</v>
      </c>
      <c r="F34" s="117">
        <f t="shared" si="4"/>
        <v>441500</v>
      </c>
      <c r="G34" s="117">
        <f t="shared" si="4"/>
        <v>376700</v>
      </c>
      <c r="H34" s="117">
        <f t="shared" si="4"/>
        <v>464000</v>
      </c>
      <c r="I34" s="117">
        <f t="shared" si="4"/>
        <v>1193000</v>
      </c>
      <c r="J34" s="117">
        <f t="shared" si="4"/>
        <v>1193000</v>
      </c>
      <c r="K34" s="147"/>
    </row>
    <row r="35" spans="2:11" ht="12.75" customHeight="1">
      <c r="B35" s="16" t="s">
        <v>32</v>
      </c>
      <c r="C35" s="7"/>
      <c r="D35" s="118"/>
      <c r="E35" s="119"/>
      <c r="F35" s="119"/>
      <c r="G35" s="119"/>
      <c r="H35" s="119"/>
      <c r="I35" s="119"/>
      <c r="J35" s="119"/>
      <c r="K35" s="147"/>
    </row>
    <row r="36" spans="2:11" ht="21" customHeight="1">
      <c r="B36" s="16" t="s">
        <v>46</v>
      </c>
      <c r="C36" s="8" t="s">
        <v>47</v>
      </c>
      <c r="D36" s="118">
        <f aca="true" t="shared" si="5" ref="D36:D46">E36+F36+G36+H36</f>
        <v>0</v>
      </c>
      <c r="E36" s="120"/>
      <c r="F36" s="120"/>
      <c r="G36" s="120"/>
      <c r="H36" s="120"/>
      <c r="I36" s="120"/>
      <c r="J36" s="120"/>
      <c r="K36" s="147"/>
    </row>
    <row r="37" spans="2:11" ht="21" customHeight="1">
      <c r="B37" s="16" t="s">
        <v>48</v>
      </c>
      <c r="C37" s="8" t="s">
        <v>49</v>
      </c>
      <c r="D37" s="118">
        <f t="shared" si="5"/>
        <v>0</v>
      </c>
      <c r="E37" s="120"/>
      <c r="F37" s="120"/>
      <c r="G37" s="120"/>
      <c r="H37" s="120"/>
      <c r="I37" s="120"/>
      <c r="J37" s="120"/>
      <c r="K37" s="147"/>
    </row>
    <row r="38" spans="2:11" ht="21" customHeight="1">
      <c r="B38" s="16" t="s">
        <v>50</v>
      </c>
      <c r="C38" s="8" t="s">
        <v>51</v>
      </c>
      <c r="D38" s="118">
        <f t="shared" si="5"/>
        <v>209000</v>
      </c>
      <c r="E38" s="120">
        <v>61000</v>
      </c>
      <c r="F38" s="120">
        <v>48000</v>
      </c>
      <c r="G38" s="120">
        <v>41000</v>
      </c>
      <c r="H38" s="120">
        <v>59000</v>
      </c>
      <c r="I38" s="120">
        <v>209000</v>
      </c>
      <c r="J38" s="120">
        <v>209000</v>
      </c>
      <c r="K38" s="147"/>
    </row>
    <row r="39" spans="2:11" ht="21" customHeight="1">
      <c r="B39" s="16" t="s">
        <v>52</v>
      </c>
      <c r="C39" s="8" t="s">
        <v>53</v>
      </c>
      <c r="D39" s="118">
        <f t="shared" si="5"/>
        <v>0</v>
      </c>
      <c r="E39" s="120"/>
      <c r="F39" s="120"/>
      <c r="G39" s="120"/>
      <c r="H39" s="120"/>
      <c r="I39" s="120"/>
      <c r="J39" s="120"/>
      <c r="K39" s="147"/>
    </row>
    <row r="40" spans="2:11" ht="21" customHeight="1">
      <c r="B40" s="16" t="s">
        <v>54</v>
      </c>
      <c r="C40" s="6">
        <v>225</v>
      </c>
      <c r="D40" s="118">
        <f t="shared" si="5"/>
        <v>496500</v>
      </c>
      <c r="E40" s="120">
        <f>87000+50000</f>
        <v>137000</v>
      </c>
      <c r="F40" s="120">
        <f>240000-150000+39500</f>
        <v>129500</v>
      </c>
      <c r="G40" s="120">
        <v>100000</v>
      </c>
      <c r="H40" s="306">
        <v>130000</v>
      </c>
      <c r="I40" s="120">
        <v>457000</v>
      </c>
      <c r="J40" s="120">
        <v>457000</v>
      </c>
      <c r="K40" s="147"/>
    </row>
    <row r="41" spans="2:11" ht="21" customHeight="1">
      <c r="B41" s="16" t="s">
        <v>32</v>
      </c>
      <c r="C41" s="6"/>
      <c r="D41" s="118">
        <f t="shared" si="5"/>
        <v>0</v>
      </c>
      <c r="E41" s="120"/>
      <c r="F41" s="120"/>
      <c r="G41" s="120"/>
      <c r="H41" s="298"/>
      <c r="I41" s="120"/>
      <c r="J41" s="120"/>
      <c r="K41" s="147"/>
    </row>
    <row r="42" spans="2:11" ht="21" customHeight="1">
      <c r="B42" s="16" t="s">
        <v>204</v>
      </c>
      <c r="C42" s="6"/>
      <c r="D42" s="118">
        <f t="shared" si="5"/>
        <v>11000</v>
      </c>
      <c r="E42" s="120">
        <v>2000</v>
      </c>
      <c r="F42" s="120">
        <v>2750</v>
      </c>
      <c r="G42" s="120">
        <v>2750</v>
      </c>
      <c r="H42" s="120">
        <v>3500</v>
      </c>
      <c r="I42" s="120">
        <v>3450</v>
      </c>
      <c r="J42" s="120">
        <v>3450</v>
      </c>
      <c r="K42" s="147"/>
    </row>
    <row r="43" spans="2:11" ht="21" customHeight="1">
      <c r="B43" s="16" t="s">
        <v>110</v>
      </c>
      <c r="C43" s="6">
        <v>226</v>
      </c>
      <c r="D43" s="118">
        <f t="shared" si="5"/>
        <v>1064700</v>
      </c>
      <c r="E43" s="120">
        <f>90000+200000</f>
        <v>290000</v>
      </c>
      <c r="F43" s="120">
        <f>280000-150000-40000+124000+50000</f>
        <v>264000</v>
      </c>
      <c r="G43" s="120">
        <f>60000+125700+50000</f>
        <v>235700</v>
      </c>
      <c r="H43" s="120">
        <f>157000-50000-20000+188000</f>
        <v>275000</v>
      </c>
      <c r="I43" s="120">
        <v>527000</v>
      </c>
      <c r="J43" s="120">
        <v>527000</v>
      </c>
      <c r="K43" s="148"/>
    </row>
    <row r="44" spans="2:11" ht="21" customHeight="1">
      <c r="B44" s="16" t="s">
        <v>32</v>
      </c>
      <c r="C44" s="6"/>
      <c r="D44" s="118">
        <f t="shared" si="5"/>
        <v>0</v>
      </c>
      <c r="E44" s="120"/>
      <c r="F44" s="120"/>
      <c r="G44" s="120"/>
      <c r="H44" s="120"/>
      <c r="I44" s="120"/>
      <c r="J44" s="120"/>
      <c r="K44" s="274"/>
    </row>
    <row r="45" spans="2:11" ht="21" customHeight="1">
      <c r="B45" s="16" t="s">
        <v>205</v>
      </c>
      <c r="C45" s="6"/>
      <c r="D45" s="118">
        <f t="shared" si="5"/>
        <v>0</v>
      </c>
      <c r="E45" s="120"/>
      <c r="F45" s="120"/>
      <c r="G45" s="120"/>
      <c r="H45" s="120"/>
      <c r="I45" s="120"/>
      <c r="J45" s="120"/>
      <c r="K45" s="274"/>
    </row>
    <row r="46" spans="2:10" ht="21" customHeight="1">
      <c r="B46" s="17" t="s">
        <v>103</v>
      </c>
      <c r="C46" s="9">
        <v>240</v>
      </c>
      <c r="D46" s="117">
        <f t="shared" si="5"/>
        <v>0</v>
      </c>
      <c r="E46" s="117">
        <f aca="true" t="shared" si="6" ref="E46:J46">E48</f>
        <v>0</v>
      </c>
      <c r="F46" s="117">
        <f t="shared" si="6"/>
        <v>0</v>
      </c>
      <c r="G46" s="117">
        <f t="shared" si="6"/>
        <v>0</v>
      </c>
      <c r="H46" s="117">
        <f t="shared" si="6"/>
        <v>0</v>
      </c>
      <c r="I46" s="117">
        <f t="shared" si="6"/>
        <v>0</v>
      </c>
      <c r="J46" s="117">
        <f t="shared" si="6"/>
        <v>0</v>
      </c>
    </row>
    <row r="47" spans="2:10" ht="12.75" customHeight="1">
      <c r="B47" s="16" t="s">
        <v>32</v>
      </c>
      <c r="C47" s="6"/>
      <c r="D47" s="117"/>
      <c r="E47" s="119"/>
      <c r="F47" s="119"/>
      <c r="G47" s="119"/>
      <c r="H47" s="119"/>
      <c r="I47" s="119"/>
      <c r="J47" s="119"/>
    </row>
    <row r="48" spans="2:10" ht="31.5" customHeight="1">
      <c r="B48" s="18" t="s">
        <v>104</v>
      </c>
      <c r="C48" s="8" t="s">
        <v>55</v>
      </c>
      <c r="D48" s="117">
        <f>E48+F48+G48+H48</f>
        <v>0</v>
      </c>
      <c r="E48" s="120"/>
      <c r="F48" s="120"/>
      <c r="G48" s="120"/>
      <c r="H48" s="120"/>
      <c r="I48" s="120"/>
      <c r="J48" s="120"/>
    </row>
    <row r="49" spans="2:10" ht="21" customHeight="1">
      <c r="B49" s="17" t="s">
        <v>56</v>
      </c>
      <c r="C49" s="10" t="s">
        <v>57</v>
      </c>
      <c r="D49" s="117">
        <f>D51+D52</f>
        <v>0</v>
      </c>
      <c r="E49" s="117">
        <f aca="true" t="shared" si="7" ref="E49:J49">E51+E52</f>
        <v>0</v>
      </c>
      <c r="F49" s="117">
        <f t="shared" si="7"/>
        <v>0</v>
      </c>
      <c r="G49" s="117">
        <f t="shared" si="7"/>
        <v>0</v>
      </c>
      <c r="H49" s="117">
        <f t="shared" si="7"/>
        <v>0</v>
      </c>
      <c r="I49" s="117">
        <f t="shared" si="7"/>
        <v>0</v>
      </c>
      <c r="J49" s="117">
        <f t="shared" si="7"/>
        <v>0</v>
      </c>
    </row>
    <row r="50" spans="2:10" ht="9.75" customHeight="1">
      <c r="B50" s="16" t="s">
        <v>32</v>
      </c>
      <c r="C50" s="7"/>
      <c r="D50" s="118"/>
      <c r="E50" s="119"/>
      <c r="F50" s="119"/>
      <c r="G50" s="119"/>
      <c r="H50" s="119"/>
      <c r="I50" s="119"/>
      <c r="J50" s="119"/>
    </row>
    <row r="51" spans="2:10" ht="21" customHeight="1">
      <c r="B51" s="16" t="s">
        <v>58</v>
      </c>
      <c r="C51" s="8" t="s">
        <v>59</v>
      </c>
      <c r="D51" s="117">
        <f>E51+F51+G51+H51</f>
        <v>0</v>
      </c>
      <c r="E51" s="120"/>
      <c r="F51" s="120"/>
      <c r="G51" s="120"/>
      <c r="H51" s="120"/>
      <c r="I51" s="120"/>
      <c r="J51" s="120"/>
    </row>
    <row r="52" spans="2:10" ht="28.5" customHeight="1">
      <c r="B52" s="16" t="s">
        <v>60</v>
      </c>
      <c r="C52" s="8" t="s">
        <v>61</v>
      </c>
      <c r="D52" s="117">
        <f>E52+F52+G52+H52</f>
        <v>0</v>
      </c>
      <c r="E52" s="120"/>
      <c r="F52" s="120"/>
      <c r="G52" s="120"/>
      <c r="H52" s="120"/>
      <c r="I52" s="120"/>
      <c r="J52" s="120"/>
    </row>
    <row r="53" spans="2:11" ht="21" customHeight="1">
      <c r="B53" s="17" t="s">
        <v>62</v>
      </c>
      <c r="C53" s="10" t="s">
        <v>63</v>
      </c>
      <c r="D53" s="117">
        <f>E53+F53+G53+H53</f>
        <v>75000</v>
      </c>
      <c r="E53" s="121"/>
      <c r="F53" s="121">
        <v>40000</v>
      </c>
      <c r="G53" s="121">
        <v>35000</v>
      </c>
      <c r="H53" s="299"/>
      <c r="I53" s="121">
        <v>75000</v>
      </c>
      <c r="J53" s="121">
        <v>75000</v>
      </c>
      <c r="K53" s="147"/>
    </row>
    <row r="54" spans="2:11" ht="23.25" customHeight="1">
      <c r="B54" s="17" t="s">
        <v>64</v>
      </c>
      <c r="C54" s="10" t="s">
        <v>65</v>
      </c>
      <c r="D54" s="117">
        <f aca="true" t="shared" si="8" ref="D54:J54">D56+D57+D58+D59</f>
        <v>7747666.28</v>
      </c>
      <c r="E54" s="117">
        <f t="shared" si="8"/>
        <v>2040666.28</v>
      </c>
      <c r="F54" s="117">
        <f t="shared" si="8"/>
        <v>2048000</v>
      </c>
      <c r="G54" s="117">
        <f t="shared" si="8"/>
        <v>1932000</v>
      </c>
      <c r="H54" s="117">
        <f t="shared" si="8"/>
        <v>1727000</v>
      </c>
      <c r="I54" s="117">
        <f t="shared" si="8"/>
        <v>7517000</v>
      </c>
      <c r="J54" s="117">
        <f t="shared" si="8"/>
        <v>7477000</v>
      </c>
      <c r="K54" s="147"/>
    </row>
    <row r="55" spans="2:11" ht="10.5" customHeight="1">
      <c r="B55" s="16" t="s">
        <v>32</v>
      </c>
      <c r="C55" s="7"/>
      <c r="D55" s="118"/>
      <c r="E55" s="278"/>
      <c r="F55" s="278"/>
      <c r="G55" s="278"/>
      <c r="H55" s="278"/>
      <c r="I55" s="119"/>
      <c r="J55" s="119"/>
      <c r="K55" s="147"/>
    </row>
    <row r="56" spans="2:12" ht="23.25" customHeight="1">
      <c r="B56" s="16" t="s">
        <v>66</v>
      </c>
      <c r="C56" s="8" t="s">
        <v>67</v>
      </c>
      <c r="D56" s="118">
        <f>E56+F56+G56+H56</f>
        <v>1021000</v>
      </c>
      <c r="E56" s="120"/>
      <c r="F56" s="120">
        <v>500000</v>
      </c>
      <c r="G56" s="120">
        <f>347000+100000+52000-250000</f>
        <v>249000</v>
      </c>
      <c r="H56" s="120">
        <f>360000-100000+12000</f>
        <v>272000</v>
      </c>
      <c r="I56" s="120">
        <v>774000</v>
      </c>
      <c r="J56" s="120">
        <v>774000</v>
      </c>
      <c r="K56" s="274"/>
      <c r="L56" s="1"/>
    </row>
    <row r="57" spans="2:11" ht="22.5" customHeight="1">
      <c r="B57" s="16" t="s">
        <v>68</v>
      </c>
      <c r="C57" s="8" t="s">
        <v>69</v>
      </c>
      <c r="D57" s="118">
        <f>E57+F57+G57+H57</f>
        <v>0</v>
      </c>
      <c r="E57" s="120"/>
      <c r="F57" s="120"/>
      <c r="G57" s="120"/>
      <c r="H57" s="120"/>
      <c r="I57" s="120"/>
      <c r="J57" s="120"/>
      <c r="K57" s="147"/>
    </row>
    <row r="58" spans="2:11" ht="23.25" customHeight="1">
      <c r="B58" s="16" t="s">
        <v>80</v>
      </c>
      <c r="C58" s="8" t="s">
        <v>81</v>
      </c>
      <c r="D58" s="118">
        <f>E58+F58+G58+H58</f>
        <v>0</v>
      </c>
      <c r="E58" s="120"/>
      <c r="F58" s="120"/>
      <c r="G58" s="120"/>
      <c r="H58" s="120"/>
      <c r="I58" s="120"/>
      <c r="J58" s="120"/>
      <c r="K58" s="147"/>
    </row>
    <row r="59" spans="2:12" ht="21" customHeight="1">
      <c r="B59" s="16" t="s">
        <v>70</v>
      </c>
      <c r="C59" s="8" t="s">
        <v>71</v>
      </c>
      <c r="D59" s="118">
        <f>E59+F59+G59+H59</f>
        <v>6726666.28</v>
      </c>
      <c r="E59" s="120">
        <f>1861000+29666.28+150000</f>
        <v>2040666.28</v>
      </c>
      <c r="F59" s="120">
        <f>1898000-350000</f>
        <v>1548000</v>
      </c>
      <c r="G59" s="120">
        <f>1483000+200000</f>
        <v>1683000</v>
      </c>
      <c r="H59" s="120">
        <v>1455000</v>
      </c>
      <c r="I59" s="120">
        <v>6743000</v>
      </c>
      <c r="J59" s="120">
        <v>6703000</v>
      </c>
      <c r="K59" s="274"/>
      <c r="L59" s="1"/>
    </row>
    <row r="60" spans="2:12" ht="21" customHeight="1">
      <c r="B60" s="16" t="s">
        <v>32</v>
      </c>
      <c r="C60" s="8"/>
      <c r="D60" s="118">
        <f aca="true" t="shared" si="9" ref="D60:D64">E60+F60+G60+H60</f>
        <v>0</v>
      </c>
      <c r="E60" s="120"/>
      <c r="F60" s="120"/>
      <c r="G60" s="120"/>
      <c r="H60" s="120"/>
      <c r="I60" s="120"/>
      <c r="J60" s="120"/>
      <c r="K60" s="274"/>
      <c r="L60" s="1"/>
    </row>
    <row r="61" spans="2:12" ht="21" customHeight="1">
      <c r="B61" s="16" t="s">
        <v>206</v>
      </c>
      <c r="C61" s="8"/>
      <c r="D61" s="118">
        <f t="shared" si="9"/>
        <v>4617251.28</v>
      </c>
      <c r="E61" s="120">
        <f>1135185+29666.28</f>
        <v>1164851.28</v>
      </c>
      <c r="F61" s="120">
        <f>1201200-150000+50000</f>
        <v>1101200</v>
      </c>
      <c r="G61" s="120">
        <f>1201200-100000+50000</f>
        <v>1151200</v>
      </c>
      <c r="H61" s="120">
        <v>1200000</v>
      </c>
      <c r="I61" s="120">
        <v>4600000</v>
      </c>
      <c r="J61" s="120">
        <v>4600000</v>
      </c>
      <c r="K61" s="274"/>
      <c r="L61" s="1"/>
    </row>
    <row r="62" spans="2:12" ht="21" customHeight="1">
      <c r="B62" s="16" t="s">
        <v>207</v>
      </c>
      <c r="C62" s="8"/>
      <c r="D62" s="118">
        <f t="shared" si="9"/>
        <v>166085</v>
      </c>
      <c r="E62" s="120">
        <f>30085+20000</f>
        <v>50085</v>
      </c>
      <c r="F62" s="120">
        <v>50000</v>
      </c>
      <c r="G62" s="120">
        <f>51000-16000</f>
        <v>35000</v>
      </c>
      <c r="H62" s="120">
        <f>51000-20000</f>
        <v>31000</v>
      </c>
      <c r="I62" s="120">
        <v>183000</v>
      </c>
      <c r="J62" s="120">
        <v>183000</v>
      </c>
      <c r="K62" s="274"/>
      <c r="L62" s="1"/>
    </row>
    <row r="63" spans="2:12" ht="21" customHeight="1">
      <c r="B63" s="16" t="s">
        <v>208</v>
      </c>
      <c r="C63" s="8"/>
      <c r="D63" s="118">
        <f t="shared" si="9"/>
        <v>454358</v>
      </c>
      <c r="E63" s="120">
        <v>115000</v>
      </c>
      <c r="F63" s="120">
        <v>114679</v>
      </c>
      <c r="G63" s="120">
        <v>114679</v>
      </c>
      <c r="H63" s="120">
        <v>110000</v>
      </c>
      <c r="I63" s="120">
        <v>460000</v>
      </c>
      <c r="J63" s="120">
        <v>460000</v>
      </c>
      <c r="K63" s="274"/>
      <c r="L63" s="1"/>
    </row>
    <row r="64" spans="2:12" ht="21" customHeight="1">
      <c r="B64" s="16" t="s">
        <v>209</v>
      </c>
      <c r="C64" s="8"/>
      <c r="D64" s="118">
        <f t="shared" si="9"/>
        <v>550207</v>
      </c>
      <c r="E64" s="120">
        <f>90000+60000+70000</f>
        <v>220000</v>
      </c>
      <c r="F64" s="120">
        <v>167000</v>
      </c>
      <c r="G64" s="120">
        <f>168000-42000</f>
        <v>126000</v>
      </c>
      <c r="H64" s="120">
        <f>167207-60000-70000</f>
        <v>37207</v>
      </c>
      <c r="I64" s="120">
        <v>600000</v>
      </c>
      <c r="J64" s="120">
        <v>600000</v>
      </c>
      <c r="K64" s="274"/>
      <c r="L64" s="1"/>
    </row>
    <row r="65" spans="2:10" ht="21" customHeight="1">
      <c r="B65" s="17" t="s">
        <v>72</v>
      </c>
      <c r="C65" s="10" t="s">
        <v>73</v>
      </c>
      <c r="D65" s="117">
        <f>D67+D68</f>
        <v>0</v>
      </c>
      <c r="E65" s="117">
        <f aca="true" t="shared" si="10" ref="E65:J65">E67+E68</f>
        <v>0</v>
      </c>
      <c r="F65" s="117">
        <f t="shared" si="10"/>
        <v>0</v>
      </c>
      <c r="G65" s="117">
        <f t="shared" si="10"/>
        <v>0</v>
      </c>
      <c r="H65" s="117">
        <f t="shared" si="10"/>
        <v>0</v>
      </c>
      <c r="I65" s="117">
        <f t="shared" si="10"/>
        <v>0</v>
      </c>
      <c r="J65" s="117">
        <f t="shared" si="10"/>
        <v>0</v>
      </c>
    </row>
    <row r="66" spans="2:10" ht="10.5" customHeight="1">
      <c r="B66" s="16" t="s">
        <v>32</v>
      </c>
      <c r="C66" s="7"/>
      <c r="D66" s="117"/>
      <c r="E66" s="119"/>
      <c r="F66" s="119"/>
      <c r="G66" s="119"/>
      <c r="H66" s="119"/>
      <c r="I66" s="119"/>
      <c r="J66" s="119"/>
    </row>
    <row r="67" spans="2:11" ht="33.6" customHeight="1">
      <c r="B67" s="16" t="s">
        <v>74</v>
      </c>
      <c r="C67" s="8" t="s">
        <v>75</v>
      </c>
      <c r="D67" s="117">
        <f>D69+D70</f>
        <v>0</v>
      </c>
      <c r="E67" s="120"/>
      <c r="F67" s="120"/>
      <c r="G67" s="120"/>
      <c r="H67" s="120"/>
      <c r="I67" s="120"/>
      <c r="J67" s="120"/>
      <c r="K67" s="149"/>
    </row>
    <row r="68" spans="2:10" ht="31.15" customHeight="1">
      <c r="B68" s="16" t="s">
        <v>76</v>
      </c>
      <c r="C68" s="8" t="s">
        <v>77</v>
      </c>
      <c r="D68" s="117">
        <f>D70+D71</f>
        <v>0</v>
      </c>
      <c r="E68" s="120"/>
      <c r="F68" s="120"/>
      <c r="G68" s="120"/>
      <c r="H68" s="120"/>
      <c r="I68" s="120"/>
      <c r="J68" s="120"/>
    </row>
    <row r="69" spans="2:10" ht="9.75" customHeight="1">
      <c r="B69" s="16" t="s">
        <v>78</v>
      </c>
      <c r="C69" s="7"/>
      <c r="D69" s="117"/>
      <c r="E69" s="122"/>
      <c r="F69" s="122"/>
      <c r="G69" s="122"/>
      <c r="H69" s="122"/>
      <c r="I69" s="122"/>
      <c r="J69" s="122"/>
    </row>
    <row r="70" spans="2:10" ht="21" customHeight="1">
      <c r="B70" s="16" t="s">
        <v>79</v>
      </c>
      <c r="C70" s="8" t="s">
        <v>36</v>
      </c>
      <c r="D70" s="117">
        <f>D72+D73</f>
        <v>0</v>
      </c>
      <c r="E70" s="120"/>
      <c r="F70" s="120"/>
      <c r="G70" s="120"/>
      <c r="H70" s="120"/>
      <c r="I70" s="120"/>
      <c r="J70" s="120"/>
    </row>
  </sheetData>
  <sheetProtection password="C541" sheet="1" objects="1" scenarios="1" formatCells="0" formatColumns="0" formatRows="0"/>
  <mergeCells count="17">
    <mergeCell ref="J17:J18"/>
    <mergeCell ref="B11:J11"/>
    <mergeCell ref="B12:J12"/>
    <mergeCell ref="B13:J13"/>
    <mergeCell ref="B14:J14"/>
    <mergeCell ref="B15:J15"/>
    <mergeCell ref="B17:B18"/>
    <mergeCell ref="C17:C18"/>
    <mergeCell ref="D17:D18"/>
    <mergeCell ref="E17:H17"/>
    <mergeCell ref="I17:I18"/>
    <mergeCell ref="G8:J8"/>
    <mergeCell ref="H1:J1"/>
    <mergeCell ref="G2:J2"/>
    <mergeCell ref="H3:J3"/>
    <mergeCell ref="G5:J5"/>
    <mergeCell ref="G7:J7"/>
  </mergeCells>
  <printOptions horizontalCentered="1"/>
  <pageMargins left="1.1811023622047245" right="0.1968503937007874" top="0.15748031496062992" bottom="0.15748031496062992" header="0.15748031496062992" footer="0.15748031496062992"/>
  <pageSetup fitToHeight="1" fitToWidth="1" horizontalDpi="600" verticalDpi="600" orientation="portrait" paperSize="9" scale="50" r:id="rId1"/>
  <headerFooter alignWithMargins="0">
    <oddFooter>&amp;C&amp;P</oddFooter>
  </headerFooter>
  <ignoredErrors>
    <ignoredError sqref="C65:C69 C31:C40 C43 C46:C5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A69"/>
  <sheetViews>
    <sheetView view="pageBreakPreview" zoomScale="60" workbookViewId="0" topLeftCell="A44">
      <selection activeCell="E19" sqref="E19"/>
    </sheetView>
  </sheetViews>
  <sheetFormatPr defaultColWidth="9.00390625" defaultRowHeight="12.75"/>
  <cols>
    <col min="1" max="1" width="2.00390625" style="0" customWidth="1"/>
    <col min="2" max="2" width="54.75390625" style="0" customWidth="1"/>
    <col min="3" max="3" width="11.75390625" style="0" customWidth="1"/>
    <col min="4" max="4" width="16.00390625" style="0" customWidth="1"/>
    <col min="5" max="5" width="14.75390625" style="0" customWidth="1"/>
    <col min="6" max="6" width="15.25390625" style="0" customWidth="1"/>
    <col min="7" max="7" width="14.375" style="0" customWidth="1"/>
    <col min="8" max="8" width="15.375" style="0" customWidth="1"/>
    <col min="9" max="9" width="15.125" style="0" customWidth="1"/>
    <col min="10" max="10" width="14.625" style="0" customWidth="1"/>
    <col min="11" max="11" width="25.375" style="0" customWidth="1"/>
  </cols>
  <sheetData>
    <row r="1" spans="5:10" ht="12.75">
      <c r="E1" s="94"/>
      <c r="F1" s="94"/>
      <c r="G1" s="37"/>
      <c r="H1" s="408"/>
      <c r="I1" s="408"/>
      <c r="J1" s="408"/>
    </row>
    <row r="2" spans="5:10" ht="12.75" customHeight="1">
      <c r="E2" s="94"/>
      <c r="F2" s="94"/>
      <c r="G2" s="415" t="str">
        <f>'Касс.пл.Внеб.(50300) (2)'!G2:J2</f>
        <v>к протоколу № 2 от 12.03.2015.</v>
      </c>
      <c r="H2" s="415"/>
      <c r="I2" s="415"/>
      <c r="J2" s="415"/>
    </row>
    <row r="3" spans="5:10" ht="12.75">
      <c r="E3" s="94"/>
      <c r="F3" s="94"/>
      <c r="G3" s="37"/>
      <c r="H3" s="409"/>
      <c r="I3" s="409"/>
      <c r="J3" s="409"/>
    </row>
    <row r="4" spans="5:10" ht="13.15" customHeight="1">
      <c r="E4" s="94"/>
      <c r="F4" s="94"/>
      <c r="G4" s="86"/>
      <c r="H4" s="86"/>
      <c r="I4" s="87" t="s">
        <v>8</v>
      </c>
      <c r="J4" s="86"/>
    </row>
    <row r="5" spans="5:10" ht="12.75" customHeight="1">
      <c r="E5" s="94"/>
      <c r="F5" s="94"/>
      <c r="G5" s="410" t="str">
        <f>'Касс. план (50400)'!G5:J5</f>
        <v>Директор АСУСОН ТО "Ишимский геронтологический центр"</v>
      </c>
      <c r="H5" s="410"/>
      <c r="I5" s="410"/>
      <c r="J5" s="410"/>
    </row>
    <row r="6" spans="5:10" ht="11.45" customHeight="1">
      <c r="E6" s="94"/>
      <c r="F6" s="94"/>
      <c r="G6" s="37"/>
      <c r="H6" s="88"/>
      <c r="I6" s="89" t="s">
        <v>113</v>
      </c>
      <c r="J6" s="88"/>
    </row>
    <row r="7" spans="5:10" ht="15.6" customHeight="1">
      <c r="E7" s="94"/>
      <c r="F7" s="94"/>
      <c r="G7" s="413" t="str">
        <f>'Касс. план (50400)'!G7:J7</f>
        <v>Т.И. Сиюткина</v>
      </c>
      <c r="H7" s="413"/>
      <c r="I7" s="413"/>
      <c r="J7" s="413"/>
    </row>
    <row r="8" spans="5:10" ht="10.9" customHeight="1">
      <c r="E8" s="94"/>
      <c r="F8" s="94"/>
      <c r="G8" s="414" t="s">
        <v>136</v>
      </c>
      <c r="H8" s="414"/>
      <c r="I8" s="414"/>
      <c r="J8" s="414"/>
    </row>
    <row r="9" spans="5:10" ht="12.75">
      <c r="E9" s="94"/>
      <c r="F9" s="94"/>
      <c r="G9" s="128" t="s">
        <v>173</v>
      </c>
      <c r="H9" s="92" t="s">
        <v>202</v>
      </c>
      <c r="I9" s="92"/>
      <c r="J9" s="93"/>
    </row>
    <row r="11" spans="2:10" ht="18">
      <c r="B11" s="438" t="s">
        <v>112</v>
      </c>
      <c r="C11" s="438"/>
      <c r="D11" s="438"/>
      <c r="E11" s="438"/>
      <c r="F11" s="438"/>
      <c r="G11" s="438"/>
      <c r="H11" s="438"/>
      <c r="I11" s="438"/>
      <c r="J11" s="438"/>
    </row>
    <row r="12" spans="2:10" ht="13.9" customHeight="1">
      <c r="B12" s="431" t="s">
        <v>147</v>
      </c>
      <c r="C12" s="431"/>
      <c r="D12" s="431"/>
      <c r="E12" s="431"/>
      <c r="F12" s="431"/>
      <c r="G12" s="431"/>
      <c r="H12" s="431"/>
      <c r="I12" s="431"/>
      <c r="J12" s="431"/>
    </row>
    <row r="13" spans="2:10" ht="16.5">
      <c r="B13" s="436" t="s">
        <v>111</v>
      </c>
      <c r="C13" s="436"/>
      <c r="D13" s="436"/>
      <c r="E13" s="436"/>
      <c r="F13" s="436"/>
      <c r="G13" s="436"/>
      <c r="H13" s="436"/>
      <c r="I13" s="436"/>
      <c r="J13" s="436"/>
    </row>
    <row r="14" spans="2:27" ht="12.75" customHeight="1">
      <c r="B14" s="329" t="str">
        <f>'Касс.пл. ХМАО'!B14</f>
        <v>Автономное стационарное учреждение социального обслуживания населения Тюменской области "Ишимский геронтологический центр"</v>
      </c>
      <c r="C14" s="329"/>
      <c r="D14" s="329"/>
      <c r="E14" s="329"/>
      <c r="F14" s="329"/>
      <c r="G14" s="329"/>
      <c r="H14" s="329"/>
      <c r="I14" s="329"/>
      <c r="J14" s="329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"/>
      <c r="X14" s="1"/>
      <c r="Y14" s="1"/>
      <c r="Z14" s="1"/>
      <c r="AA14" s="1"/>
    </row>
    <row r="15" spans="2:27" ht="16.5">
      <c r="B15" s="437" t="s">
        <v>4</v>
      </c>
      <c r="C15" s="437"/>
      <c r="D15" s="437"/>
      <c r="E15" s="437"/>
      <c r="F15" s="437"/>
      <c r="G15" s="437"/>
      <c r="H15" s="437"/>
      <c r="I15" s="437"/>
      <c r="J15" s="43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2.75">
      <c r="B16" s="5"/>
      <c r="C16" s="5"/>
      <c r="D16" s="5"/>
      <c r="E16" s="5"/>
      <c r="F16" s="5"/>
      <c r="G16" s="5"/>
      <c r="H16" s="5"/>
      <c r="I16" s="5"/>
      <c r="J16" s="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10" ht="12.75">
      <c r="B17" s="432" t="s">
        <v>11</v>
      </c>
      <c r="C17" s="434" t="s">
        <v>35</v>
      </c>
      <c r="D17" s="419" t="s">
        <v>203</v>
      </c>
      <c r="E17" s="428" t="s">
        <v>98</v>
      </c>
      <c r="F17" s="429"/>
      <c r="G17" s="429"/>
      <c r="H17" s="430"/>
      <c r="I17" s="419" t="s">
        <v>143</v>
      </c>
      <c r="J17" s="419" t="s">
        <v>197</v>
      </c>
    </row>
    <row r="18" spans="2:10" ht="18" customHeight="1">
      <c r="B18" s="433"/>
      <c r="C18" s="435"/>
      <c r="D18" s="420"/>
      <c r="E18" s="131" t="s">
        <v>99</v>
      </c>
      <c r="F18" s="131" t="s">
        <v>100</v>
      </c>
      <c r="G18" s="131" t="s">
        <v>101</v>
      </c>
      <c r="H18" s="131" t="s">
        <v>102</v>
      </c>
      <c r="I18" s="420"/>
      <c r="J18" s="420"/>
    </row>
    <row r="19" spans="2:10" ht="18" customHeight="1">
      <c r="B19" s="44" t="s">
        <v>97</v>
      </c>
      <c r="C19" s="45"/>
      <c r="D19" s="114">
        <f>E19+F19+G19+H19</f>
        <v>279666.28</v>
      </c>
      <c r="E19" s="115">
        <v>279666.28</v>
      </c>
      <c r="F19" s="115"/>
      <c r="G19" s="115"/>
      <c r="H19" s="115"/>
      <c r="I19" s="115"/>
      <c r="J19" s="115"/>
    </row>
    <row r="20" spans="2:11" ht="18" customHeight="1">
      <c r="B20" s="44" t="s">
        <v>106</v>
      </c>
      <c r="C20" s="45"/>
      <c r="D20" s="114">
        <f>E20+F20+G20+H20</f>
        <v>0</v>
      </c>
      <c r="E20" s="114">
        <f>IF(E22&gt;0,IF((E27-E19)=(E22+E23+E24+E25+E26),E27-E19,"Ошибка!"),0)</f>
        <v>0</v>
      </c>
      <c r="F20" s="114">
        <f aca="true" t="shared" si="0" ref="F20:H20">IF(F22&gt;0,IF((F27-F19)=(F22+F23+F24+F25+F26),F27-F19,"Ошибка!"),0)</f>
        <v>0</v>
      </c>
      <c r="G20" s="114">
        <f t="shared" si="0"/>
        <v>0</v>
      </c>
      <c r="H20" s="114">
        <f t="shared" si="0"/>
        <v>0</v>
      </c>
      <c r="I20" s="114">
        <f aca="true" t="shared" si="1" ref="I20:J20">I27-I19</f>
        <v>0</v>
      </c>
      <c r="J20" s="114">
        <f t="shared" si="1"/>
        <v>0</v>
      </c>
      <c r="K20" s="113"/>
    </row>
    <row r="21" spans="2:10" ht="11.25" customHeight="1">
      <c r="B21" s="44" t="s">
        <v>33</v>
      </c>
      <c r="C21" s="45"/>
      <c r="D21" s="114"/>
      <c r="E21" s="116"/>
      <c r="F21" s="116"/>
      <c r="G21" s="116"/>
      <c r="H21" s="116"/>
      <c r="I21" s="116"/>
      <c r="J21" s="116"/>
    </row>
    <row r="22" spans="2:10" ht="18" customHeight="1">
      <c r="B22" s="44" t="s">
        <v>140</v>
      </c>
      <c r="C22" s="45">
        <v>130</v>
      </c>
      <c r="D22" s="114">
        <f>E22+F22+G22+H22</f>
        <v>0</v>
      </c>
      <c r="E22" s="115"/>
      <c r="F22" s="115"/>
      <c r="G22" s="115"/>
      <c r="H22" s="115"/>
      <c r="I22" s="115"/>
      <c r="J22" s="115"/>
    </row>
    <row r="23" spans="2:10" ht="28.5" customHeight="1">
      <c r="B23" s="44" t="s">
        <v>141</v>
      </c>
      <c r="C23" s="45">
        <v>140</v>
      </c>
      <c r="D23" s="114">
        <f>E23+F23+G23+H23</f>
        <v>0</v>
      </c>
      <c r="E23" s="115"/>
      <c r="F23" s="115"/>
      <c r="G23" s="115"/>
      <c r="H23" s="115"/>
      <c r="I23" s="115"/>
      <c r="J23" s="115"/>
    </row>
    <row r="24" spans="2:10" ht="13.5" customHeight="1">
      <c r="B24" s="44" t="s">
        <v>142</v>
      </c>
      <c r="C24" s="45">
        <v>440</v>
      </c>
      <c r="D24" s="114">
        <f>E24+F24+G24+H24</f>
        <v>0</v>
      </c>
      <c r="E24" s="115"/>
      <c r="F24" s="115"/>
      <c r="G24" s="115"/>
      <c r="H24" s="115"/>
      <c r="I24" s="115"/>
      <c r="J24" s="115"/>
    </row>
    <row r="25" spans="2:10" ht="15" customHeight="1" hidden="1">
      <c r="B25" s="44" t="s">
        <v>131</v>
      </c>
      <c r="C25" s="45">
        <v>180</v>
      </c>
      <c r="D25" s="138">
        <f>E25+F25+G25+H25</f>
        <v>0</v>
      </c>
      <c r="E25" s="137"/>
      <c r="F25" s="137"/>
      <c r="G25" s="137"/>
      <c r="H25" s="137"/>
      <c r="I25" s="115"/>
      <c r="J25" s="115"/>
    </row>
    <row r="26" spans="2:10" ht="15" customHeight="1">
      <c r="B26" s="44" t="s">
        <v>132</v>
      </c>
      <c r="C26" s="45">
        <v>180</v>
      </c>
      <c r="D26" s="138">
        <f>E26+F26+G26+H26</f>
        <v>0</v>
      </c>
      <c r="E26" s="137"/>
      <c r="F26" s="137"/>
      <c r="G26" s="137"/>
      <c r="H26" s="137"/>
      <c r="I26" s="115"/>
      <c r="J26" s="115"/>
    </row>
    <row r="27" spans="2:10" ht="21" customHeight="1">
      <c r="B27" s="44" t="s">
        <v>38</v>
      </c>
      <c r="C27" s="132"/>
      <c r="D27" s="117">
        <f aca="true" t="shared" si="2" ref="D27:J27">D29+D33+D45+D48+D52+D53+D64</f>
        <v>279666.28</v>
      </c>
      <c r="E27" s="117">
        <f>E29+E33+E45+E48+E52+E53+E64</f>
        <v>29666.28</v>
      </c>
      <c r="F27" s="117">
        <f t="shared" si="2"/>
        <v>0</v>
      </c>
      <c r="G27" s="117">
        <f t="shared" si="2"/>
        <v>0</v>
      </c>
      <c r="H27" s="117">
        <f t="shared" si="2"/>
        <v>250000</v>
      </c>
      <c r="I27" s="117">
        <f t="shared" si="2"/>
        <v>0</v>
      </c>
      <c r="J27" s="117">
        <f t="shared" si="2"/>
        <v>0</v>
      </c>
    </row>
    <row r="28" spans="2:10" ht="13.9" customHeight="1">
      <c r="B28" s="44" t="s">
        <v>33</v>
      </c>
      <c r="C28" s="132"/>
      <c r="D28" s="118"/>
      <c r="E28" s="119"/>
      <c r="F28" s="119"/>
      <c r="G28" s="119"/>
      <c r="H28" s="119"/>
      <c r="I28" s="119"/>
      <c r="J28" s="119"/>
    </row>
    <row r="29" spans="2:10" ht="27.6" customHeight="1">
      <c r="B29" s="47" t="s">
        <v>105</v>
      </c>
      <c r="C29" s="48">
        <v>210</v>
      </c>
      <c r="D29" s="117">
        <f>D30+D31+D32</f>
        <v>0</v>
      </c>
      <c r="E29" s="117">
        <f aca="true" t="shared" si="3" ref="E29:J29">E30+E31+E32</f>
        <v>0</v>
      </c>
      <c r="F29" s="117">
        <f t="shared" si="3"/>
        <v>0</v>
      </c>
      <c r="G29" s="117">
        <f t="shared" si="3"/>
        <v>0</v>
      </c>
      <c r="H29" s="117">
        <f t="shared" si="3"/>
        <v>0</v>
      </c>
      <c r="I29" s="117">
        <f t="shared" si="3"/>
        <v>0</v>
      </c>
      <c r="J29" s="117">
        <f t="shared" si="3"/>
        <v>0</v>
      </c>
    </row>
    <row r="30" spans="2:10" ht="21" customHeight="1">
      <c r="B30" s="16" t="s">
        <v>39</v>
      </c>
      <c r="C30" s="8" t="s">
        <v>40</v>
      </c>
      <c r="D30" s="118">
        <f>E30+F30+G30+H30</f>
        <v>0</v>
      </c>
      <c r="E30" s="120"/>
      <c r="F30" s="120"/>
      <c r="G30" s="120"/>
      <c r="H30" s="120"/>
      <c r="I30" s="120"/>
      <c r="J30" s="120"/>
    </row>
    <row r="31" spans="2:10" ht="21" customHeight="1">
      <c r="B31" s="16" t="s">
        <v>41</v>
      </c>
      <c r="C31" s="6">
        <v>212</v>
      </c>
      <c r="D31" s="118">
        <f>E31+F31+G31+H31</f>
        <v>0</v>
      </c>
      <c r="E31" s="120"/>
      <c r="F31" s="120"/>
      <c r="G31" s="120"/>
      <c r="H31" s="120"/>
      <c r="I31" s="120"/>
      <c r="J31" s="120"/>
    </row>
    <row r="32" spans="2:10" ht="21" customHeight="1">
      <c r="B32" s="16" t="s">
        <v>42</v>
      </c>
      <c r="C32" s="8" t="s">
        <v>43</v>
      </c>
      <c r="D32" s="118">
        <f>E32+F32+G32+H32</f>
        <v>0</v>
      </c>
      <c r="E32" s="120"/>
      <c r="F32" s="120"/>
      <c r="G32" s="120"/>
      <c r="H32" s="120"/>
      <c r="I32" s="120"/>
      <c r="J32" s="120"/>
    </row>
    <row r="33" spans="2:10" ht="21" customHeight="1">
      <c r="B33" s="17" t="s">
        <v>44</v>
      </c>
      <c r="C33" s="10" t="s">
        <v>45</v>
      </c>
      <c r="D33" s="117">
        <f aca="true" t="shared" si="4" ref="D33:J33">D35+D36+D37+D38+D39+D42</f>
        <v>0</v>
      </c>
      <c r="E33" s="117">
        <f t="shared" si="4"/>
        <v>0</v>
      </c>
      <c r="F33" s="117">
        <f t="shared" si="4"/>
        <v>0</v>
      </c>
      <c r="G33" s="117">
        <f t="shared" si="4"/>
        <v>0</v>
      </c>
      <c r="H33" s="117">
        <f t="shared" si="4"/>
        <v>0</v>
      </c>
      <c r="I33" s="117">
        <f t="shared" si="4"/>
        <v>0</v>
      </c>
      <c r="J33" s="117">
        <f t="shared" si="4"/>
        <v>0</v>
      </c>
    </row>
    <row r="34" spans="2:10" ht="12.75" customHeight="1">
      <c r="B34" s="16" t="s">
        <v>32</v>
      </c>
      <c r="C34" s="7"/>
      <c r="D34" s="118"/>
      <c r="E34" s="119"/>
      <c r="F34" s="119"/>
      <c r="G34" s="119"/>
      <c r="H34" s="119"/>
      <c r="I34" s="119"/>
      <c r="J34" s="119"/>
    </row>
    <row r="35" spans="2:10" ht="21" customHeight="1">
      <c r="B35" s="16" t="s">
        <v>46</v>
      </c>
      <c r="C35" s="8" t="s">
        <v>47</v>
      </c>
      <c r="D35" s="118">
        <f aca="true" t="shared" si="5" ref="D35:D45">E35+F35+G35+H35</f>
        <v>0</v>
      </c>
      <c r="E35" s="120"/>
      <c r="F35" s="120"/>
      <c r="G35" s="120"/>
      <c r="H35" s="120"/>
      <c r="I35" s="120"/>
      <c r="J35" s="120"/>
    </row>
    <row r="36" spans="2:10" ht="21" customHeight="1">
      <c r="B36" s="16" t="s">
        <v>48</v>
      </c>
      <c r="C36" s="8" t="s">
        <v>49</v>
      </c>
      <c r="D36" s="118">
        <f t="shared" si="5"/>
        <v>0</v>
      </c>
      <c r="E36" s="120"/>
      <c r="F36" s="120"/>
      <c r="G36" s="120"/>
      <c r="H36" s="120"/>
      <c r="I36" s="120"/>
      <c r="J36" s="120"/>
    </row>
    <row r="37" spans="2:10" ht="21" customHeight="1">
      <c r="B37" s="16" t="s">
        <v>50</v>
      </c>
      <c r="C37" s="8" t="s">
        <v>51</v>
      </c>
      <c r="D37" s="118">
        <f t="shared" si="5"/>
        <v>0</v>
      </c>
      <c r="E37" s="120"/>
      <c r="F37" s="120"/>
      <c r="G37" s="120"/>
      <c r="H37" s="120"/>
      <c r="I37" s="120"/>
      <c r="J37" s="120"/>
    </row>
    <row r="38" spans="2:10" ht="21" customHeight="1">
      <c r="B38" s="16" t="s">
        <v>52</v>
      </c>
      <c r="C38" s="8" t="s">
        <v>53</v>
      </c>
      <c r="D38" s="118">
        <f t="shared" si="5"/>
        <v>0</v>
      </c>
      <c r="E38" s="120"/>
      <c r="F38" s="120"/>
      <c r="G38" s="120"/>
      <c r="H38" s="120"/>
      <c r="I38" s="120"/>
      <c r="J38" s="120"/>
    </row>
    <row r="39" spans="2:10" ht="21" customHeight="1">
      <c r="B39" s="16" t="s">
        <v>54</v>
      </c>
      <c r="C39" s="6">
        <v>225</v>
      </c>
      <c r="D39" s="118">
        <f t="shared" si="5"/>
        <v>0</v>
      </c>
      <c r="E39" s="120"/>
      <c r="F39" s="120"/>
      <c r="G39" s="120"/>
      <c r="H39" s="120"/>
      <c r="I39" s="120"/>
      <c r="J39" s="120"/>
    </row>
    <row r="40" spans="2:10" ht="21" customHeight="1">
      <c r="B40" s="16" t="s">
        <v>32</v>
      </c>
      <c r="C40" s="6"/>
      <c r="D40" s="118">
        <f t="shared" si="5"/>
        <v>0</v>
      </c>
      <c r="E40" s="120"/>
      <c r="F40" s="120"/>
      <c r="G40" s="120"/>
      <c r="H40" s="120"/>
      <c r="I40" s="120"/>
      <c r="J40" s="120"/>
    </row>
    <row r="41" spans="2:10" ht="21" customHeight="1">
      <c r="B41" s="16" t="s">
        <v>204</v>
      </c>
      <c r="C41" s="6"/>
      <c r="D41" s="118">
        <f t="shared" si="5"/>
        <v>0</v>
      </c>
      <c r="E41" s="120"/>
      <c r="F41" s="120"/>
      <c r="G41" s="120"/>
      <c r="H41" s="120"/>
      <c r="I41" s="120"/>
      <c r="J41" s="120"/>
    </row>
    <row r="42" spans="2:10" ht="21" customHeight="1">
      <c r="B42" s="16" t="s">
        <v>110</v>
      </c>
      <c r="C42" s="6">
        <v>226</v>
      </c>
      <c r="D42" s="118">
        <f t="shared" si="5"/>
        <v>0</v>
      </c>
      <c r="E42" s="120"/>
      <c r="F42" s="120"/>
      <c r="G42" s="120"/>
      <c r="H42" s="120"/>
      <c r="I42" s="120"/>
      <c r="J42" s="120"/>
    </row>
    <row r="43" spans="2:10" ht="21" customHeight="1">
      <c r="B43" s="16" t="s">
        <v>32</v>
      </c>
      <c r="C43" s="6"/>
      <c r="D43" s="118">
        <f t="shared" si="5"/>
        <v>0</v>
      </c>
      <c r="E43" s="120"/>
      <c r="F43" s="120"/>
      <c r="G43" s="120"/>
      <c r="H43" s="120"/>
      <c r="I43" s="120"/>
      <c r="J43" s="120"/>
    </row>
    <row r="44" spans="2:10" ht="21" customHeight="1">
      <c r="B44" s="16" t="s">
        <v>205</v>
      </c>
      <c r="C44" s="6"/>
      <c r="D44" s="118">
        <f t="shared" si="5"/>
        <v>0</v>
      </c>
      <c r="E44" s="120"/>
      <c r="F44" s="120"/>
      <c r="G44" s="120"/>
      <c r="H44" s="120"/>
      <c r="I44" s="120"/>
      <c r="J44" s="120"/>
    </row>
    <row r="45" spans="2:10" ht="21" customHeight="1">
      <c r="B45" s="17" t="s">
        <v>103</v>
      </c>
      <c r="C45" s="9">
        <v>240</v>
      </c>
      <c r="D45" s="117">
        <f t="shared" si="5"/>
        <v>0</v>
      </c>
      <c r="E45" s="117">
        <f aca="true" t="shared" si="6" ref="E45:J45">E47</f>
        <v>0</v>
      </c>
      <c r="F45" s="117">
        <f t="shared" si="6"/>
        <v>0</v>
      </c>
      <c r="G45" s="117">
        <f t="shared" si="6"/>
        <v>0</v>
      </c>
      <c r="H45" s="117">
        <f t="shared" si="6"/>
        <v>0</v>
      </c>
      <c r="I45" s="117">
        <f t="shared" si="6"/>
        <v>0</v>
      </c>
      <c r="J45" s="117">
        <f t="shared" si="6"/>
        <v>0</v>
      </c>
    </row>
    <row r="46" spans="2:10" ht="12.75" customHeight="1">
      <c r="B46" s="16" t="s">
        <v>32</v>
      </c>
      <c r="C46" s="6"/>
      <c r="D46" s="117"/>
      <c r="E46" s="119"/>
      <c r="F46" s="119"/>
      <c r="G46" s="119"/>
      <c r="H46" s="119"/>
      <c r="I46" s="119"/>
      <c r="J46" s="119"/>
    </row>
    <row r="47" spans="2:10" ht="31.5" customHeight="1">
      <c r="B47" s="18" t="s">
        <v>104</v>
      </c>
      <c r="C47" s="8" t="s">
        <v>55</v>
      </c>
      <c r="D47" s="117">
        <f>E47+F47+G47+H47</f>
        <v>0</v>
      </c>
      <c r="E47" s="120"/>
      <c r="F47" s="120"/>
      <c r="G47" s="120"/>
      <c r="H47" s="120"/>
      <c r="I47" s="120"/>
      <c r="J47" s="120"/>
    </row>
    <row r="48" spans="2:10" ht="21" customHeight="1">
      <c r="B48" s="17" t="s">
        <v>56</v>
      </c>
      <c r="C48" s="10" t="s">
        <v>57</v>
      </c>
      <c r="D48" s="117">
        <f>D50+D51</f>
        <v>0</v>
      </c>
      <c r="E48" s="117">
        <f aca="true" t="shared" si="7" ref="E48:J48">E50+E51</f>
        <v>0</v>
      </c>
      <c r="F48" s="117">
        <f t="shared" si="7"/>
        <v>0</v>
      </c>
      <c r="G48" s="117">
        <f t="shared" si="7"/>
        <v>0</v>
      </c>
      <c r="H48" s="117">
        <f t="shared" si="7"/>
        <v>0</v>
      </c>
      <c r="I48" s="117">
        <f t="shared" si="7"/>
        <v>0</v>
      </c>
      <c r="J48" s="117">
        <f t="shared" si="7"/>
        <v>0</v>
      </c>
    </row>
    <row r="49" spans="2:10" ht="9.75" customHeight="1">
      <c r="B49" s="16" t="s">
        <v>32</v>
      </c>
      <c r="C49" s="7"/>
      <c r="D49" s="118"/>
      <c r="E49" s="119"/>
      <c r="F49" s="119"/>
      <c r="G49" s="119"/>
      <c r="H49" s="119"/>
      <c r="I49" s="119"/>
      <c r="J49" s="119"/>
    </row>
    <row r="50" spans="2:10" ht="21" customHeight="1">
      <c r="B50" s="16" t="s">
        <v>58</v>
      </c>
      <c r="C50" s="8" t="s">
        <v>59</v>
      </c>
      <c r="D50" s="117">
        <f>E50+F50+G50+H50</f>
        <v>0</v>
      </c>
      <c r="E50" s="120"/>
      <c r="F50" s="120"/>
      <c r="G50" s="120"/>
      <c r="H50" s="120"/>
      <c r="I50" s="120"/>
      <c r="J50" s="120"/>
    </row>
    <row r="51" spans="2:10" ht="35.45" customHeight="1">
      <c r="B51" s="16" t="s">
        <v>60</v>
      </c>
      <c r="C51" s="8" t="s">
        <v>61</v>
      </c>
      <c r="D51" s="117">
        <f>E51+F51+G51+H51</f>
        <v>0</v>
      </c>
      <c r="E51" s="120"/>
      <c r="F51" s="120"/>
      <c r="G51" s="120"/>
      <c r="H51" s="120"/>
      <c r="I51" s="120"/>
      <c r="J51" s="120"/>
    </row>
    <row r="52" spans="2:10" ht="21" customHeight="1">
      <c r="B52" s="17" t="s">
        <v>62</v>
      </c>
      <c r="C52" s="10" t="s">
        <v>63</v>
      </c>
      <c r="D52" s="117">
        <f>E52+F52+G52+H52</f>
        <v>0</v>
      </c>
      <c r="E52" s="121"/>
      <c r="F52" s="121"/>
      <c r="G52" s="121"/>
      <c r="H52" s="121"/>
      <c r="I52" s="121"/>
      <c r="J52" s="121"/>
    </row>
    <row r="53" spans="2:10" ht="35.45" customHeight="1">
      <c r="B53" s="17" t="s">
        <v>64</v>
      </c>
      <c r="C53" s="10" t="s">
        <v>65</v>
      </c>
      <c r="D53" s="117">
        <f aca="true" t="shared" si="8" ref="D53:J53">D55+D56+D57+D58</f>
        <v>279666.28</v>
      </c>
      <c r="E53" s="117">
        <f t="shared" si="8"/>
        <v>29666.28</v>
      </c>
      <c r="F53" s="117">
        <f t="shared" si="8"/>
        <v>0</v>
      </c>
      <c r="G53" s="117">
        <f t="shared" si="8"/>
        <v>0</v>
      </c>
      <c r="H53" s="117">
        <f t="shared" si="8"/>
        <v>250000</v>
      </c>
      <c r="I53" s="117">
        <f t="shared" si="8"/>
        <v>0</v>
      </c>
      <c r="J53" s="117">
        <f t="shared" si="8"/>
        <v>0</v>
      </c>
    </row>
    <row r="54" spans="2:10" ht="10.5" customHeight="1">
      <c r="B54" s="16" t="s">
        <v>32</v>
      </c>
      <c r="C54" s="7"/>
      <c r="D54" s="118"/>
      <c r="E54" s="119"/>
      <c r="F54" s="119"/>
      <c r="G54" s="119"/>
      <c r="H54" s="119"/>
      <c r="I54" s="119"/>
      <c r="J54" s="119"/>
    </row>
    <row r="55" spans="2:10" ht="27.6" customHeight="1">
      <c r="B55" s="16" t="s">
        <v>66</v>
      </c>
      <c r="C55" s="8" t="s">
        <v>67</v>
      </c>
      <c r="D55" s="118">
        <f>E55+F55+G55+H55</f>
        <v>250000</v>
      </c>
      <c r="E55" s="120"/>
      <c r="F55" s="120"/>
      <c r="G55" s="120"/>
      <c r="H55" s="120">
        <v>250000</v>
      </c>
      <c r="I55" s="120"/>
      <c r="J55" s="120"/>
    </row>
    <row r="56" spans="2:10" ht="27.6" customHeight="1">
      <c r="B56" s="16" t="s">
        <v>68</v>
      </c>
      <c r="C56" s="8" t="s">
        <v>69</v>
      </c>
      <c r="D56" s="118">
        <f>E56+F56+G56+H56</f>
        <v>0</v>
      </c>
      <c r="E56" s="120"/>
      <c r="F56" s="120"/>
      <c r="G56" s="120"/>
      <c r="H56" s="120"/>
      <c r="I56" s="120"/>
      <c r="J56" s="120"/>
    </row>
    <row r="57" spans="2:10" ht="37.9" customHeight="1">
      <c r="B57" s="16" t="s">
        <v>80</v>
      </c>
      <c r="C57" s="8" t="s">
        <v>81</v>
      </c>
      <c r="D57" s="118">
        <f>E57+F57+G57+H57</f>
        <v>0</v>
      </c>
      <c r="E57" s="120"/>
      <c r="F57" s="120"/>
      <c r="G57" s="120"/>
      <c r="H57" s="120"/>
      <c r="I57" s="120"/>
      <c r="J57" s="120"/>
    </row>
    <row r="58" spans="2:10" ht="21" customHeight="1">
      <c r="B58" s="16" t="s">
        <v>70</v>
      </c>
      <c r="C58" s="8" t="s">
        <v>71</v>
      </c>
      <c r="D58" s="118">
        <f>E58+F58+G58+H58</f>
        <v>29666.28</v>
      </c>
      <c r="E58" s="120">
        <v>29666.28</v>
      </c>
      <c r="F58" s="120"/>
      <c r="G58" s="120"/>
      <c r="H58" s="120"/>
      <c r="I58" s="120"/>
      <c r="J58" s="120"/>
    </row>
    <row r="59" spans="2:10" ht="21" customHeight="1">
      <c r="B59" s="16" t="s">
        <v>32</v>
      </c>
      <c r="C59" s="8"/>
      <c r="D59" s="118">
        <f aca="true" t="shared" si="9" ref="D59:D63">E59+F59+G59+H59</f>
        <v>0</v>
      </c>
      <c r="E59" s="120"/>
      <c r="F59" s="120"/>
      <c r="G59" s="120"/>
      <c r="H59" s="120"/>
      <c r="I59" s="120"/>
      <c r="J59" s="120"/>
    </row>
    <row r="60" spans="2:10" ht="21" customHeight="1">
      <c r="B60" s="16" t="s">
        <v>206</v>
      </c>
      <c r="C60" s="8"/>
      <c r="D60" s="118">
        <f t="shared" si="9"/>
        <v>29666.28</v>
      </c>
      <c r="E60" s="120">
        <v>29666.28</v>
      </c>
      <c r="F60" s="120"/>
      <c r="G60" s="120"/>
      <c r="H60" s="120"/>
      <c r="I60" s="120"/>
      <c r="J60" s="120"/>
    </row>
    <row r="61" spans="2:10" ht="21" customHeight="1">
      <c r="B61" s="16" t="s">
        <v>207</v>
      </c>
      <c r="C61" s="8"/>
      <c r="D61" s="118">
        <f t="shared" si="9"/>
        <v>0</v>
      </c>
      <c r="E61" s="120"/>
      <c r="F61" s="120"/>
      <c r="G61" s="120"/>
      <c r="H61" s="120"/>
      <c r="I61" s="120"/>
      <c r="J61" s="120"/>
    </row>
    <row r="62" spans="2:10" ht="21" customHeight="1">
      <c r="B62" s="16" t="s">
        <v>208</v>
      </c>
      <c r="C62" s="8"/>
      <c r="D62" s="118">
        <f t="shared" si="9"/>
        <v>0</v>
      </c>
      <c r="E62" s="120"/>
      <c r="F62" s="120"/>
      <c r="G62" s="120"/>
      <c r="H62" s="120"/>
      <c r="I62" s="120"/>
      <c r="J62" s="120"/>
    </row>
    <row r="63" spans="2:10" ht="21" customHeight="1">
      <c r="B63" s="16" t="s">
        <v>209</v>
      </c>
      <c r="C63" s="8"/>
      <c r="D63" s="118">
        <f t="shared" si="9"/>
        <v>0</v>
      </c>
      <c r="E63" s="120"/>
      <c r="F63" s="120"/>
      <c r="G63" s="120"/>
      <c r="H63" s="120"/>
      <c r="I63" s="120"/>
      <c r="J63" s="120"/>
    </row>
    <row r="64" spans="2:10" ht="21" customHeight="1">
      <c r="B64" s="17" t="s">
        <v>72</v>
      </c>
      <c r="C64" s="10" t="s">
        <v>73</v>
      </c>
      <c r="D64" s="117">
        <f>D66+D67</f>
        <v>0</v>
      </c>
      <c r="E64" s="117">
        <f aca="true" t="shared" si="10" ref="E64:J64">E66+E67</f>
        <v>0</v>
      </c>
      <c r="F64" s="117">
        <f t="shared" si="10"/>
        <v>0</v>
      </c>
      <c r="G64" s="117">
        <f t="shared" si="10"/>
        <v>0</v>
      </c>
      <c r="H64" s="117">
        <f t="shared" si="10"/>
        <v>0</v>
      </c>
      <c r="I64" s="117">
        <f t="shared" si="10"/>
        <v>0</v>
      </c>
      <c r="J64" s="117">
        <f t="shared" si="10"/>
        <v>0</v>
      </c>
    </row>
    <row r="65" spans="2:10" ht="10.5" customHeight="1">
      <c r="B65" s="16" t="s">
        <v>32</v>
      </c>
      <c r="C65" s="7"/>
      <c r="D65" s="117"/>
      <c r="E65" s="119"/>
      <c r="F65" s="119"/>
      <c r="G65" s="119"/>
      <c r="H65" s="119"/>
      <c r="I65" s="119"/>
      <c r="J65" s="119"/>
    </row>
    <row r="66" spans="2:10" ht="33.6" customHeight="1">
      <c r="B66" s="16" t="s">
        <v>74</v>
      </c>
      <c r="C66" s="8" t="s">
        <v>75</v>
      </c>
      <c r="D66" s="117">
        <f>D68+D69</f>
        <v>0</v>
      </c>
      <c r="E66" s="120"/>
      <c r="F66" s="120"/>
      <c r="G66" s="120"/>
      <c r="H66" s="120"/>
      <c r="I66" s="120"/>
      <c r="J66" s="120"/>
    </row>
    <row r="67" spans="2:10" ht="31.15" customHeight="1">
      <c r="B67" s="16" t="s">
        <v>76</v>
      </c>
      <c r="C67" s="8" t="s">
        <v>77</v>
      </c>
      <c r="D67" s="117">
        <f>D69+D70</f>
        <v>0</v>
      </c>
      <c r="E67" s="120"/>
      <c r="F67" s="120"/>
      <c r="G67" s="120"/>
      <c r="H67" s="120"/>
      <c r="I67" s="120"/>
      <c r="J67" s="120"/>
    </row>
    <row r="68" spans="2:10" ht="9.75" customHeight="1">
      <c r="B68" s="16" t="s">
        <v>78</v>
      </c>
      <c r="C68" s="7"/>
      <c r="D68" s="117"/>
      <c r="E68" s="122"/>
      <c r="F68" s="122"/>
      <c r="G68" s="122"/>
      <c r="H68" s="122"/>
      <c r="I68" s="122"/>
      <c r="J68" s="122"/>
    </row>
    <row r="69" spans="2:10" ht="21" customHeight="1">
      <c r="B69" s="16" t="s">
        <v>79</v>
      </c>
      <c r="C69" s="8" t="s">
        <v>36</v>
      </c>
      <c r="D69" s="117">
        <f>D71+D72</f>
        <v>0</v>
      </c>
      <c r="E69" s="120"/>
      <c r="F69" s="120"/>
      <c r="G69" s="120"/>
      <c r="H69" s="120"/>
      <c r="I69" s="120"/>
      <c r="J69" s="120"/>
    </row>
  </sheetData>
  <sheetProtection password="C541" sheet="1" objects="1" scenarios="1" formatCells="0" formatColumns="0" formatRows="0"/>
  <mergeCells count="17">
    <mergeCell ref="G8:J8"/>
    <mergeCell ref="H1:J1"/>
    <mergeCell ref="G2:J2"/>
    <mergeCell ref="H3:J3"/>
    <mergeCell ref="G5:J5"/>
    <mergeCell ref="G7:J7"/>
    <mergeCell ref="J17:J18"/>
    <mergeCell ref="B11:J11"/>
    <mergeCell ref="B12:J12"/>
    <mergeCell ref="B13:J13"/>
    <mergeCell ref="B14:J14"/>
    <mergeCell ref="B15:J15"/>
    <mergeCell ref="B17:B18"/>
    <mergeCell ref="C17:C18"/>
    <mergeCell ref="D17:D18"/>
    <mergeCell ref="E17:H17"/>
    <mergeCell ref="I17:I18"/>
  </mergeCells>
  <printOptions horizontalCentered="1"/>
  <pageMargins left="1.1811023622047245" right="0.1968503937007874" top="0.15748031496062992" bottom="0.15748031496062992" header="0.15748031496062992" footer="0.15748031496062992"/>
  <pageSetup fitToHeight="1" fitToWidth="1" horizontalDpi="600" verticalDpi="600" orientation="portrait" paperSize="9" scale="52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A69"/>
  <sheetViews>
    <sheetView view="pageBreakPreview" zoomScale="60" workbookViewId="0" topLeftCell="A55">
      <selection activeCell="G2" sqref="G2:J2"/>
    </sheetView>
  </sheetViews>
  <sheetFormatPr defaultColWidth="9.00390625" defaultRowHeight="12.75"/>
  <cols>
    <col min="1" max="1" width="2.00390625" style="0" customWidth="1"/>
    <col min="2" max="2" width="54.75390625" style="0" customWidth="1"/>
    <col min="3" max="3" width="15.25390625" style="0" customWidth="1"/>
    <col min="4" max="4" width="16.00390625" style="0" customWidth="1"/>
    <col min="5" max="5" width="16.625" style="0" customWidth="1"/>
    <col min="6" max="6" width="15.25390625" style="0" customWidth="1"/>
    <col min="7" max="7" width="14.375" style="0" customWidth="1"/>
    <col min="8" max="8" width="15.375" style="0" customWidth="1"/>
    <col min="9" max="9" width="15.125" style="0" customWidth="1"/>
    <col min="10" max="10" width="14.625" style="0" customWidth="1"/>
    <col min="11" max="11" width="25.375" style="0" customWidth="1"/>
  </cols>
  <sheetData>
    <row r="1" spans="5:10" ht="12.75">
      <c r="E1" s="94"/>
      <c r="F1" s="94"/>
      <c r="G1" s="37"/>
      <c r="H1" s="408" t="s">
        <v>233</v>
      </c>
      <c r="I1" s="408"/>
      <c r="J1" s="408"/>
    </row>
    <row r="2" spans="5:10" ht="12.75" customHeight="1">
      <c r="E2" s="94"/>
      <c r="F2" s="94"/>
      <c r="G2" s="415"/>
      <c r="H2" s="415"/>
      <c r="I2" s="415"/>
      <c r="J2" s="415"/>
    </row>
    <row r="3" spans="5:10" ht="12.75">
      <c r="E3" s="94"/>
      <c r="F3" s="94"/>
      <c r="G3" s="37"/>
      <c r="H3" s="409"/>
      <c r="I3" s="409"/>
      <c r="J3" s="409"/>
    </row>
    <row r="4" spans="5:10" ht="13.15" customHeight="1">
      <c r="E4" s="94"/>
      <c r="F4" s="94"/>
      <c r="G4" s="86"/>
      <c r="H4" s="86"/>
      <c r="I4" s="87" t="s">
        <v>8</v>
      </c>
      <c r="J4" s="86"/>
    </row>
    <row r="5" spans="5:10" ht="12.75" customHeight="1">
      <c r="E5" s="94"/>
      <c r="F5" s="94"/>
      <c r="G5" s="410" t="str">
        <f>'Касс. план (50400)'!G5:J5</f>
        <v>Директор АСУСОН ТО "Ишимский геронтологический центр"</v>
      </c>
      <c r="H5" s="410"/>
      <c r="I5" s="410"/>
      <c r="J5" s="410"/>
    </row>
    <row r="6" spans="5:10" ht="11.45" customHeight="1">
      <c r="E6" s="94"/>
      <c r="F6" s="94"/>
      <c r="G6" s="37"/>
      <c r="H6" s="88"/>
      <c r="I6" s="89" t="s">
        <v>113</v>
      </c>
      <c r="J6" s="88"/>
    </row>
    <row r="7" spans="5:10" ht="15.6" customHeight="1">
      <c r="E7" s="94"/>
      <c r="F7" s="94"/>
      <c r="G7" s="413" t="str">
        <f>'Касс. план (50400)'!G7:J7</f>
        <v>Т.И. Сиюткина</v>
      </c>
      <c r="H7" s="413"/>
      <c r="I7" s="413"/>
      <c r="J7" s="413"/>
    </row>
    <row r="8" spans="5:10" ht="10.9" customHeight="1">
      <c r="E8" s="94"/>
      <c r="F8" s="94"/>
      <c r="G8" s="414" t="s">
        <v>136</v>
      </c>
      <c r="H8" s="414"/>
      <c r="I8" s="414"/>
      <c r="J8" s="414"/>
    </row>
    <row r="9" spans="5:10" ht="12.75">
      <c r="E9" s="94"/>
      <c r="F9" s="94"/>
      <c r="G9" s="128" t="s">
        <v>173</v>
      </c>
      <c r="H9" s="92" t="s">
        <v>210</v>
      </c>
      <c r="I9" s="92"/>
      <c r="J9" s="93"/>
    </row>
    <row r="11" spans="2:10" ht="18">
      <c r="B11" s="438" t="s">
        <v>112</v>
      </c>
      <c r="C11" s="438"/>
      <c r="D11" s="438"/>
      <c r="E11" s="438"/>
      <c r="F11" s="438"/>
      <c r="G11" s="438"/>
      <c r="H11" s="438"/>
      <c r="I11" s="438"/>
      <c r="J11" s="438"/>
    </row>
    <row r="12" spans="2:10" ht="13.9" customHeight="1">
      <c r="B12" s="431" t="s">
        <v>144</v>
      </c>
      <c r="C12" s="431"/>
      <c r="D12" s="431"/>
      <c r="E12" s="431"/>
      <c r="F12" s="431"/>
      <c r="G12" s="431"/>
      <c r="H12" s="431"/>
      <c r="I12" s="431"/>
      <c r="J12" s="431"/>
    </row>
    <row r="13" spans="2:10" ht="16.5">
      <c r="B13" s="436" t="s">
        <v>111</v>
      </c>
      <c r="C13" s="436"/>
      <c r="D13" s="436"/>
      <c r="E13" s="436"/>
      <c r="F13" s="436"/>
      <c r="G13" s="436"/>
      <c r="H13" s="436"/>
      <c r="I13" s="436"/>
      <c r="J13" s="436"/>
    </row>
    <row r="14" spans="2:27" ht="12.75" customHeight="1">
      <c r="B14" s="329" t="str">
        <f>'Касс.пл. ХМАО'!B14</f>
        <v>Автономное стационарное учреждение социального обслуживания населения Тюменской области "Ишимский геронтологический центр"</v>
      </c>
      <c r="C14" s="329"/>
      <c r="D14" s="329"/>
      <c r="E14" s="329"/>
      <c r="F14" s="329"/>
      <c r="G14" s="329"/>
      <c r="H14" s="329"/>
      <c r="I14" s="329"/>
      <c r="J14" s="329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"/>
      <c r="X14" s="1"/>
      <c r="Y14" s="1"/>
      <c r="Z14" s="1"/>
      <c r="AA14" s="1"/>
    </row>
    <row r="15" spans="2:27" ht="16.5">
      <c r="B15" s="437" t="s">
        <v>4</v>
      </c>
      <c r="C15" s="437"/>
      <c r="D15" s="437"/>
      <c r="E15" s="437"/>
      <c r="F15" s="437"/>
      <c r="G15" s="437"/>
      <c r="H15" s="437"/>
      <c r="I15" s="437"/>
      <c r="J15" s="43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2.75">
      <c r="B16" s="140">
        <f>E27-E19</f>
        <v>3000</v>
      </c>
      <c r="C16" s="140"/>
      <c r="D16" s="140"/>
      <c r="E16" s="5"/>
      <c r="F16" s="5"/>
      <c r="G16" s="5"/>
      <c r="H16" s="5"/>
      <c r="I16" s="5"/>
      <c r="J16" s="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10" ht="12.75">
      <c r="B17" s="432" t="s">
        <v>11</v>
      </c>
      <c r="C17" s="434" t="s">
        <v>35</v>
      </c>
      <c r="D17" s="419" t="s">
        <v>203</v>
      </c>
      <c r="E17" s="428" t="s">
        <v>98</v>
      </c>
      <c r="F17" s="429"/>
      <c r="G17" s="429"/>
      <c r="H17" s="430"/>
      <c r="I17" s="419" t="s">
        <v>143</v>
      </c>
      <c r="J17" s="419" t="s">
        <v>214</v>
      </c>
    </row>
    <row r="18" spans="2:10" ht="18" customHeight="1">
      <c r="B18" s="433"/>
      <c r="C18" s="435"/>
      <c r="D18" s="420"/>
      <c r="E18" s="129" t="s">
        <v>99</v>
      </c>
      <c r="F18" s="129" t="s">
        <v>100</v>
      </c>
      <c r="G18" s="129" t="s">
        <v>101</v>
      </c>
      <c r="H18" s="129" t="s">
        <v>102</v>
      </c>
      <c r="I18" s="420"/>
      <c r="J18" s="420"/>
    </row>
    <row r="19" spans="2:10" ht="18" customHeight="1">
      <c r="B19" s="44" t="s">
        <v>97</v>
      </c>
      <c r="C19" s="45"/>
      <c r="D19" s="114">
        <f>E19+F19+G19+H19</f>
        <v>13300</v>
      </c>
      <c r="E19" s="139">
        <f>'Остаток Внеб.(50320)'!E19</f>
        <v>13300</v>
      </c>
      <c r="F19" s="139">
        <f>'Остаток Внеб.(50320)'!F19</f>
        <v>0</v>
      </c>
      <c r="G19" s="139">
        <f>'Остаток Внеб.(50320)'!G19</f>
        <v>0</v>
      </c>
      <c r="H19" s="139">
        <f>'Остаток Внеб.(50320)'!H19</f>
        <v>0</v>
      </c>
      <c r="I19" s="139">
        <f>'Остаток Внеб.(50320)'!I19</f>
        <v>0</v>
      </c>
      <c r="J19" s="139">
        <f>'Остаток Внеб.(50320)'!J19</f>
        <v>0</v>
      </c>
    </row>
    <row r="20" spans="2:11" ht="18" customHeight="1">
      <c r="B20" s="44" t="s">
        <v>106</v>
      </c>
      <c r="C20" s="45"/>
      <c r="D20" s="114">
        <f>E20+F20+G20+H20</f>
        <v>3000</v>
      </c>
      <c r="E20" s="114">
        <f>E27-E19</f>
        <v>3000</v>
      </c>
      <c r="F20" s="114">
        <f aca="true" t="shared" si="0" ref="F20:J20">F27-F19</f>
        <v>0</v>
      </c>
      <c r="G20" s="114">
        <f t="shared" si="0"/>
        <v>0</v>
      </c>
      <c r="H20" s="114">
        <f t="shared" si="0"/>
        <v>0</v>
      </c>
      <c r="I20" s="114">
        <f t="shared" si="0"/>
        <v>0</v>
      </c>
      <c r="J20" s="114">
        <f t="shared" si="0"/>
        <v>0</v>
      </c>
      <c r="K20" s="113"/>
    </row>
    <row r="21" spans="2:10" ht="11.25" customHeight="1">
      <c r="B21" s="44" t="s">
        <v>33</v>
      </c>
      <c r="C21" s="45"/>
      <c r="D21" s="114"/>
      <c r="E21" s="116"/>
      <c r="F21" s="116"/>
      <c r="G21" s="116"/>
      <c r="H21" s="116"/>
      <c r="I21" s="116"/>
      <c r="J21" s="116"/>
    </row>
    <row r="22" spans="2:10" ht="18" customHeight="1">
      <c r="B22" s="44" t="str">
        <f>'Касс.пл.Внеб.(50300) (2)'!B22</f>
        <v xml:space="preserve"> - доходы от оказания платных услуг</v>
      </c>
      <c r="C22" s="45">
        <f>'Касс.пл.Внеб.(50300) (2)'!C22</f>
        <v>130</v>
      </c>
      <c r="D22" s="114">
        <f>E22+F22+G22+H22</f>
        <v>0</v>
      </c>
      <c r="E22" s="115"/>
      <c r="F22" s="115"/>
      <c r="G22" s="115"/>
      <c r="H22" s="115"/>
      <c r="I22" s="115"/>
      <c r="J22" s="115"/>
    </row>
    <row r="23" spans="2:10" ht="29.25" customHeight="1">
      <c r="B23" s="44" t="str">
        <f>'Касс.пл.Внеб.(50300) (2)'!B23</f>
        <v xml:space="preserve"> - доходы от штрафов, пеней, иных сумм принудительного изъятия</v>
      </c>
      <c r="C23" s="45">
        <f>'Касс.пл.Внеб.(50300) (2)'!C23</f>
        <v>140</v>
      </c>
      <c r="D23" s="114">
        <f>E23+F23+G23+H23</f>
        <v>0</v>
      </c>
      <c r="E23" s="115"/>
      <c r="F23" s="115"/>
      <c r="G23" s="115"/>
      <c r="H23" s="115"/>
      <c r="I23" s="115"/>
      <c r="J23" s="115"/>
    </row>
    <row r="24" spans="2:10" ht="13.5" customHeight="1">
      <c r="B24" s="44" t="str">
        <f>'Касс.пл.Внеб.(50300) (2)'!B24</f>
        <v xml:space="preserve"> - доходы от выбытия материальных запасов</v>
      </c>
      <c r="C24" s="45">
        <f>'Касс.пл.Внеб.(50300) (2)'!C24</f>
        <v>440</v>
      </c>
      <c r="D24" s="114">
        <f>E24+F24+G24+H24</f>
        <v>0</v>
      </c>
      <c r="E24" s="115"/>
      <c r="F24" s="115"/>
      <c r="G24" s="115"/>
      <c r="H24" s="115"/>
      <c r="I24" s="115"/>
      <c r="J24" s="115"/>
    </row>
    <row r="25" spans="2:10" ht="15" customHeight="1">
      <c r="B25" s="44" t="str">
        <f>'Касс.пл.Внеб.(50300) (2)'!B25</f>
        <v xml:space="preserve"> - гранты</v>
      </c>
      <c r="C25" s="45">
        <f>'Касс.пл.Внеб.(50300) (2)'!C25</f>
        <v>180</v>
      </c>
      <c r="D25" s="114">
        <f>E25+F25+G25+H25</f>
        <v>0</v>
      </c>
      <c r="E25" s="115"/>
      <c r="F25" s="115"/>
      <c r="G25" s="115"/>
      <c r="H25" s="115"/>
      <c r="I25" s="115"/>
      <c r="J25" s="115"/>
    </row>
    <row r="26" spans="2:10" ht="15" customHeight="1">
      <c r="B26" s="44" t="str">
        <f>'Касс.пл.Внеб.(50300) (2)'!B26</f>
        <v xml:space="preserve"> - спонсорская помощь</v>
      </c>
      <c r="C26" s="45">
        <f>'Касс.пл.Внеб.(50300) (2)'!C26</f>
        <v>180</v>
      </c>
      <c r="D26" s="114">
        <f>E26+F26+G26+H26</f>
        <v>3000</v>
      </c>
      <c r="E26" s="115">
        <v>3000</v>
      </c>
      <c r="F26" s="115"/>
      <c r="G26" s="115"/>
      <c r="H26" s="115"/>
      <c r="I26" s="115"/>
      <c r="J26" s="115"/>
    </row>
    <row r="27" spans="2:10" ht="25.5" customHeight="1">
      <c r="B27" s="44" t="s">
        <v>38</v>
      </c>
      <c r="C27" s="130"/>
      <c r="D27" s="117">
        <f aca="true" t="shared" si="1" ref="D27:J27">D29+D33+D45+D48+D52+D53+D64</f>
        <v>16300</v>
      </c>
      <c r="E27" s="117">
        <f>E29+E33+E45+E48+E52+E53+E64</f>
        <v>16300</v>
      </c>
      <c r="F27" s="117">
        <f>F29+F33+F45+F48+F52+F53+F64</f>
        <v>0</v>
      </c>
      <c r="G27" s="117">
        <f t="shared" si="1"/>
        <v>0</v>
      </c>
      <c r="H27" s="117">
        <f t="shared" si="1"/>
        <v>0</v>
      </c>
      <c r="I27" s="117">
        <f t="shared" si="1"/>
        <v>0</v>
      </c>
      <c r="J27" s="117">
        <f t="shared" si="1"/>
        <v>0</v>
      </c>
    </row>
    <row r="28" spans="2:10" ht="13.9" customHeight="1">
      <c r="B28" s="44" t="s">
        <v>33</v>
      </c>
      <c r="C28" s="130"/>
      <c r="D28" s="118"/>
      <c r="E28" s="119"/>
      <c r="F28" s="119"/>
      <c r="G28" s="119"/>
      <c r="H28" s="119"/>
      <c r="I28" s="119"/>
      <c r="J28" s="119"/>
    </row>
    <row r="29" spans="2:10" ht="27.6" customHeight="1">
      <c r="B29" s="47" t="s">
        <v>105</v>
      </c>
      <c r="C29" s="48">
        <v>210</v>
      </c>
      <c r="D29" s="117">
        <f>D30+D31+D32</f>
        <v>0</v>
      </c>
      <c r="E29" s="117">
        <f aca="true" t="shared" si="2" ref="E29:J29">E30+E31+E32</f>
        <v>0</v>
      </c>
      <c r="F29" s="117">
        <f t="shared" si="2"/>
        <v>0</v>
      </c>
      <c r="G29" s="117">
        <f t="shared" si="2"/>
        <v>0</v>
      </c>
      <c r="H29" s="117">
        <f t="shared" si="2"/>
        <v>0</v>
      </c>
      <c r="I29" s="117">
        <f t="shared" si="2"/>
        <v>0</v>
      </c>
      <c r="J29" s="117">
        <f t="shared" si="2"/>
        <v>0</v>
      </c>
    </row>
    <row r="30" spans="2:10" ht="21" customHeight="1">
      <c r="B30" s="16" t="s">
        <v>39</v>
      </c>
      <c r="C30" s="8" t="s">
        <v>40</v>
      </c>
      <c r="D30" s="118">
        <f>E30+F30+G30+H30</f>
        <v>0</v>
      </c>
      <c r="E30" s="120"/>
      <c r="F30" s="120"/>
      <c r="G30" s="120"/>
      <c r="H30" s="120"/>
      <c r="I30" s="120"/>
      <c r="J30" s="120"/>
    </row>
    <row r="31" spans="2:10" ht="21" customHeight="1">
      <c r="B31" s="16" t="s">
        <v>41</v>
      </c>
      <c r="C31" s="6">
        <v>212</v>
      </c>
      <c r="D31" s="118">
        <f>E31+F31+G31+H31</f>
        <v>0</v>
      </c>
      <c r="E31" s="120"/>
      <c r="F31" s="120"/>
      <c r="G31" s="120"/>
      <c r="H31" s="120"/>
      <c r="I31" s="120"/>
      <c r="J31" s="120"/>
    </row>
    <row r="32" spans="2:10" ht="21" customHeight="1">
      <c r="B32" s="16" t="s">
        <v>42</v>
      </c>
      <c r="C32" s="8" t="s">
        <v>43</v>
      </c>
      <c r="D32" s="118">
        <f>E32+F32+G32+H32</f>
        <v>0</v>
      </c>
      <c r="E32" s="120"/>
      <c r="F32" s="120"/>
      <c r="G32" s="120"/>
      <c r="H32" s="120"/>
      <c r="I32" s="120"/>
      <c r="J32" s="120"/>
    </row>
    <row r="33" spans="2:10" ht="21" customHeight="1">
      <c r="B33" s="17" t="s">
        <v>44</v>
      </c>
      <c r="C33" s="10" t="s">
        <v>45</v>
      </c>
      <c r="D33" s="117">
        <f aca="true" t="shared" si="3" ref="D33:J33">D35+D36+D37+D38+D39+D42</f>
        <v>16300</v>
      </c>
      <c r="E33" s="117">
        <f t="shared" si="3"/>
        <v>16300</v>
      </c>
      <c r="F33" s="117">
        <f t="shared" si="3"/>
        <v>0</v>
      </c>
      <c r="G33" s="117">
        <f t="shared" si="3"/>
        <v>0</v>
      </c>
      <c r="H33" s="117">
        <f t="shared" si="3"/>
        <v>0</v>
      </c>
      <c r="I33" s="117">
        <f t="shared" si="3"/>
        <v>0</v>
      </c>
      <c r="J33" s="117">
        <f t="shared" si="3"/>
        <v>0</v>
      </c>
    </row>
    <row r="34" spans="2:10" ht="12.75" customHeight="1">
      <c r="B34" s="16" t="s">
        <v>32</v>
      </c>
      <c r="C34" s="7"/>
      <c r="D34" s="118"/>
      <c r="E34" s="119"/>
      <c r="F34" s="119"/>
      <c r="G34" s="119"/>
      <c r="H34" s="119"/>
      <c r="I34" s="119"/>
      <c r="J34" s="119"/>
    </row>
    <row r="35" spans="2:10" ht="21" customHeight="1">
      <c r="B35" s="16" t="s">
        <v>46</v>
      </c>
      <c r="C35" s="8" t="s">
        <v>47</v>
      </c>
      <c r="D35" s="118">
        <f aca="true" t="shared" si="4" ref="D35:D45">E35+F35+G35+H35</f>
        <v>0</v>
      </c>
      <c r="E35" s="120"/>
      <c r="F35" s="120"/>
      <c r="G35" s="120"/>
      <c r="H35" s="120"/>
      <c r="I35" s="120"/>
      <c r="J35" s="120"/>
    </row>
    <row r="36" spans="2:10" ht="21" customHeight="1">
      <c r="B36" s="16" t="s">
        <v>48</v>
      </c>
      <c r="C36" s="8" t="s">
        <v>49</v>
      </c>
      <c r="D36" s="118">
        <f t="shared" si="4"/>
        <v>0</v>
      </c>
      <c r="E36" s="120"/>
      <c r="F36" s="120"/>
      <c r="G36" s="120"/>
      <c r="H36" s="120"/>
      <c r="I36" s="120"/>
      <c r="J36" s="120"/>
    </row>
    <row r="37" spans="2:10" ht="21" customHeight="1">
      <c r="B37" s="16" t="s">
        <v>50</v>
      </c>
      <c r="C37" s="8" t="s">
        <v>51</v>
      </c>
      <c r="D37" s="118">
        <f t="shared" si="4"/>
        <v>0</v>
      </c>
      <c r="E37" s="120"/>
      <c r="F37" s="120"/>
      <c r="G37" s="120"/>
      <c r="H37" s="120"/>
      <c r="I37" s="120"/>
      <c r="J37" s="120"/>
    </row>
    <row r="38" spans="2:10" ht="21" customHeight="1">
      <c r="B38" s="16" t="s">
        <v>52</v>
      </c>
      <c r="C38" s="8" t="s">
        <v>53</v>
      </c>
      <c r="D38" s="118">
        <f t="shared" si="4"/>
        <v>0</v>
      </c>
      <c r="E38" s="120"/>
      <c r="F38" s="120"/>
      <c r="G38" s="120"/>
      <c r="H38" s="120"/>
      <c r="I38" s="120"/>
      <c r="J38" s="120"/>
    </row>
    <row r="39" spans="2:10" ht="21" customHeight="1">
      <c r="B39" s="16" t="s">
        <v>54</v>
      </c>
      <c r="C39" s="6">
        <v>225</v>
      </c>
      <c r="D39" s="118">
        <f t="shared" si="4"/>
        <v>0</v>
      </c>
      <c r="E39" s="120"/>
      <c r="F39" s="120"/>
      <c r="G39" s="120"/>
      <c r="H39" s="120"/>
      <c r="I39" s="120"/>
      <c r="J39" s="120"/>
    </row>
    <row r="40" spans="2:10" ht="21" customHeight="1">
      <c r="B40" s="16" t="s">
        <v>32</v>
      </c>
      <c r="C40" s="6"/>
      <c r="D40" s="118">
        <f t="shared" si="4"/>
        <v>0</v>
      </c>
      <c r="E40" s="120"/>
      <c r="F40" s="120"/>
      <c r="G40" s="120"/>
      <c r="H40" s="120"/>
      <c r="I40" s="120"/>
      <c r="J40" s="120"/>
    </row>
    <row r="41" spans="2:10" ht="21" customHeight="1">
      <c r="B41" s="16" t="s">
        <v>204</v>
      </c>
      <c r="C41" s="6"/>
      <c r="D41" s="118">
        <f t="shared" si="4"/>
        <v>0</v>
      </c>
      <c r="E41" s="120"/>
      <c r="F41" s="120"/>
      <c r="G41" s="120"/>
      <c r="H41" s="120"/>
      <c r="I41" s="120"/>
      <c r="J41" s="120"/>
    </row>
    <row r="42" spans="2:10" ht="21" customHeight="1">
      <c r="B42" s="16" t="s">
        <v>110</v>
      </c>
      <c r="C42" s="6">
        <v>226</v>
      </c>
      <c r="D42" s="118">
        <f t="shared" si="4"/>
        <v>16300</v>
      </c>
      <c r="E42" s="120">
        <f>13300+3000</f>
        <v>16300</v>
      </c>
      <c r="F42" s="120"/>
      <c r="G42" s="120"/>
      <c r="H42" s="120"/>
      <c r="I42" s="120"/>
      <c r="J42" s="120"/>
    </row>
    <row r="43" spans="2:10" ht="21" customHeight="1">
      <c r="B43" s="16" t="s">
        <v>32</v>
      </c>
      <c r="C43" s="6"/>
      <c r="D43" s="118">
        <f t="shared" si="4"/>
        <v>0</v>
      </c>
      <c r="E43" s="120"/>
      <c r="F43" s="120"/>
      <c r="G43" s="120"/>
      <c r="H43" s="120"/>
      <c r="I43" s="120"/>
      <c r="J43" s="120"/>
    </row>
    <row r="44" spans="2:10" ht="21" customHeight="1">
      <c r="B44" s="16" t="s">
        <v>205</v>
      </c>
      <c r="C44" s="6"/>
      <c r="D44" s="118">
        <f t="shared" si="4"/>
        <v>0</v>
      </c>
      <c r="E44" s="120"/>
      <c r="F44" s="120"/>
      <c r="G44" s="120"/>
      <c r="H44" s="120"/>
      <c r="I44" s="120"/>
      <c r="J44" s="120"/>
    </row>
    <row r="45" spans="2:10" ht="21" customHeight="1">
      <c r="B45" s="17" t="s">
        <v>103</v>
      </c>
      <c r="C45" s="9">
        <v>240</v>
      </c>
      <c r="D45" s="117">
        <f t="shared" si="4"/>
        <v>0</v>
      </c>
      <c r="E45" s="117">
        <f aca="true" t="shared" si="5" ref="E45:J45">E47</f>
        <v>0</v>
      </c>
      <c r="F45" s="117">
        <f t="shared" si="5"/>
        <v>0</v>
      </c>
      <c r="G45" s="117">
        <f t="shared" si="5"/>
        <v>0</v>
      </c>
      <c r="H45" s="117">
        <f t="shared" si="5"/>
        <v>0</v>
      </c>
      <c r="I45" s="117">
        <f t="shared" si="5"/>
        <v>0</v>
      </c>
      <c r="J45" s="117">
        <f t="shared" si="5"/>
        <v>0</v>
      </c>
    </row>
    <row r="46" spans="2:10" ht="12.75" customHeight="1">
      <c r="B46" s="16" t="s">
        <v>32</v>
      </c>
      <c r="C46" s="6"/>
      <c r="D46" s="117"/>
      <c r="E46" s="119"/>
      <c r="F46" s="119"/>
      <c r="G46" s="119"/>
      <c r="H46" s="119"/>
      <c r="I46" s="119"/>
      <c r="J46" s="119"/>
    </row>
    <row r="47" spans="2:10" ht="31.5" customHeight="1">
      <c r="B47" s="18" t="s">
        <v>104</v>
      </c>
      <c r="C47" s="8" t="s">
        <v>55</v>
      </c>
      <c r="D47" s="117">
        <f>E47+F47+G47+H47</f>
        <v>0</v>
      </c>
      <c r="E47" s="120"/>
      <c r="F47" s="120"/>
      <c r="G47" s="120"/>
      <c r="H47" s="120"/>
      <c r="I47" s="120"/>
      <c r="J47" s="120"/>
    </row>
    <row r="48" spans="2:10" ht="21" customHeight="1">
      <c r="B48" s="17" t="s">
        <v>56</v>
      </c>
      <c r="C48" s="10" t="s">
        <v>57</v>
      </c>
      <c r="D48" s="117">
        <f>D50+D51</f>
        <v>0</v>
      </c>
      <c r="E48" s="117">
        <f aca="true" t="shared" si="6" ref="E48:J48">E50+E51</f>
        <v>0</v>
      </c>
      <c r="F48" s="117">
        <f t="shared" si="6"/>
        <v>0</v>
      </c>
      <c r="G48" s="117">
        <f t="shared" si="6"/>
        <v>0</v>
      </c>
      <c r="H48" s="117">
        <f t="shared" si="6"/>
        <v>0</v>
      </c>
      <c r="I48" s="117">
        <f t="shared" si="6"/>
        <v>0</v>
      </c>
      <c r="J48" s="117">
        <f t="shared" si="6"/>
        <v>0</v>
      </c>
    </row>
    <row r="49" spans="2:10" ht="9.75" customHeight="1">
      <c r="B49" s="16" t="s">
        <v>32</v>
      </c>
      <c r="C49" s="7"/>
      <c r="D49" s="118"/>
      <c r="E49" s="119"/>
      <c r="F49" s="119"/>
      <c r="G49" s="119"/>
      <c r="H49" s="119"/>
      <c r="I49" s="119"/>
      <c r="J49" s="119"/>
    </row>
    <row r="50" spans="2:10" ht="21" customHeight="1">
      <c r="B50" s="16" t="s">
        <v>58</v>
      </c>
      <c r="C50" s="8" t="s">
        <v>59</v>
      </c>
      <c r="D50" s="117">
        <f>E50+F50+G50+H50</f>
        <v>0</v>
      </c>
      <c r="E50" s="120"/>
      <c r="F50" s="120"/>
      <c r="G50" s="120"/>
      <c r="H50" s="120"/>
      <c r="I50" s="120"/>
      <c r="J50" s="120"/>
    </row>
    <row r="51" spans="2:10" ht="35.45" customHeight="1">
      <c r="B51" s="16" t="s">
        <v>60</v>
      </c>
      <c r="C51" s="8" t="s">
        <v>61</v>
      </c>
      <c r="D51" s="117">
        <f>E51+F51+G51+H51</f>
        <v>0</v>
      </c>
      <c r="E51" s="120"/>
      <c r="F51" s="120"/>
      <c r="G51" s="120"/>
      <c r="H51" s="120"/>
      <c r="I51" s="120"/>
      <c r="J51" s="120"/>
    </row>
    <row r="52" spans="2:10" ht="21" customHeight="1">
      <c r="B52" s="17" t="s">
        <v>62</v>
      </c>
      <c r="C52" s="10" t="s">
        <v>63</v>
      </c>
      <c r="D52" s="117">
        <f>E52+F52+G52+H52</f>
        <v>0</v>
      </c>
      <c r="E52" s="121"/>
      <c r="F52" s="121"/>
      <c r="G52" s="121"/>
      <c r="H52" s="150"/>
      <c r="I52" s="121"/>
      <c r="J52" s="121"/>
    </row>
    <row r="53" spans="2:10" ht="23.25" customHeight="1">
      <c r="B53" s="17" t="s">
        <v>64</v>
      </c>
      <c r="C53" s="10" t="s">
        <v>65</v>
      </c>
      <c r="D53" s="117">
        <f aca="true" t="shared" si="7" ref="D53:J53">D55+D56+D57+D58</f>
        <v>0</v>
      </c>
      <c r="E53" s="117">
        <f t="shared" si="7"/>
        <v>0</v>
      </c>
      <c r="F53" s="117">
        <f t="shared" si="7"/>
        <v>0</v>
      </c>
      <c r="G53" s="117">
        <f t="shared" si="7"/>
        <v>0</v>
      </c>
      <c r="H53" s="117">
        <f t="shared" si="7"/>
        <v>0</v>
      </c>
      <c r="I53" s="117">
        <f t="shared" si="7"/>
        <v>0</v>
      </c>
      <c r="J53" s="117">
        <f t="shared" si="7"/>
        <v>0</v>
      </c>
    </row>
    <row r="54" spans="2:10" ht="10.5" customHeight="1">
      <c r="B54" s="16" t="s">
        <v>32</v>
      </c>
      <c r="C54" s="7"/>
      <c r="D54" s="118"/>
      <c r="E54" s="119"/>
      <c r="F54" s="119"/>
      <c r="G54" s="119"/>
      <c r="H54" s="119"/>
      <c r="I54" s="119"/>
      <c r="J54" s="119"/>
    </row>
    <row r="55" spans="2:10" ht="25.5" customHeight="1">
      <c r="B55" s="16" t="s">
        <v>66</v>
      </c>
      <c r="C55" s="8" t="s">
        <v>67</v>
      </c>
      <c r="D55" s="118">
        <f>E55+F55+G55+H55</f>
        <v>0</v>
      </c>
      <c r="E55" s="120"/>
      <c r="F55" s="120"/>
      <c r="G55" s="120"/>
      <c r="H55" s="120"/>
      <c r="I55" s="120"/>
      <c r="J55" s="120"/>
    </row>
    <row r="56" spans="2:10" ht="25.5" customHeight="1">
      <c r="B56" s="16" t="s">
        <v>68</v>
      </c>
      <c r="C56" s="8" t="s">
        <v>69</v>
      </c>
      <c r="D56" s="118">
        <f>E56+F56+G56+H56</f>
        <v>0</v>
      </c>
      <c r="E56" s="120"/>
      <c r="F56" s="120"/>
      <c r="G56" s="120"/>
      <c r="H56" s="120"/>
      <c r="I56" s="120"/>
      <c r="J56" s="120"/>
    </row>
    <row r="57" spans="2:10" ht="25.5" customHeight="1">
      <c r="B57" s="16" t="s">
        <v>80</v>
      </c>
      <c r="C57" s="8" t="s">
        <v>81</v>
      </c>
      <c r="D57" s="118">
        <f>E57+F57+G57+H57</f>
        <v>0</v>
      </c>
      <c r="E57" s="120"/>
      <c r="F57" s="120"/>
      <c r="G57" s="120"/>
      <c r="H57" s="120"/>
      <c r="I57" s="120"/>
      <c r="J57" s="120"/>
    </row>
    <row r="58" spans="2:10" ht="21" customHeight="1">
      <c r="B58" s="16" t="s">
        <v>70</v>
      </c>
      <c r="C58" s="8" t="s">
        <v>71</v>
      </c>
      <c r="D58" s="118">
        <f>E58+F58+G58+H58</f>
        <v>0</v>
      </c>
      <c r="E58" s="120"/>
      <c r="F58" s="120"/>
      <c r="G58" s="120"/>
      <c r="H58" s="120"/>
      <c r="I58" s="120"/>
      <c r="J58" s="120"/>
    </row>
    <row r="59" spans="2:10" ht="21" customHeight="1">
      <c r="B59" s="16" t="s">
        <v>32</v>
      </c>
      <c r="C59" s="8"/>
      <c r="D59" s="118">
        <f aca="true" t="shared" si="8" ref="D59:D63">E59+F59+G59+H59</f>
        <v>0</v>
      </c>
      <c r="E59" s="120"/>
      <c r="F59" s="120"/>
      <c r="G59" s="120"/>
      <c r="H59" s="120"/>
      <c r="I59" s="120"/>
      <c r="J59" s="120"/>
    </row>
    <row r="60" spans="2:10" ht="21" customHeight="1">
      <c r="B60" s="16" t="s">
        <v>206</v>
      </c>
      <c r="C60" s="8"/>
      <c r="D60" s="118">
        <f t="shared" si="8"/>
        <v>0</v>
      </c>
      <c r="E60" s="120"/>
      <c r="F60" s="120"/>
      <c r="G60" s="120"/>
      <c r="H60" s="120"/>
      <c r="I60" s="120"/>
      <c r="J60" s="120"/>
    </row>
    <row r="61" spans="2:10" ht="21" customHeight="1">
      <c r="B61" s="16" t="s">
        <v>207</v>
      </c>
      <c r="C61" s="8"/>
      <c r="D61" s="118">
        <f t="shared" si="8"/>
        <v>0</v>
      </c>
      <c r="E61" s="120"/>
      <c r="F61" s="120"/>
      <c r="G61" s="120"/>
      <c r="H61" s="120"/>
      <c r="I61" s="120"/>
      <c r="J61" s="120"/>
    </row>
    <row r="62" spans="2:10" ht="21" customHeight="1">
      <c r="B62" s="16" t="s">
        <v>208</v>
      </c>
      <c r="C62" s="8"/>
      <c r="D62" s="118">
        <f t="shared" si="8"/>
        <v>0</v>
      </c>
      <c r="E62" s="120"/>
      <c r="F62" s="120"/>
      <c r="G62" s="120"/>
      <c r="H62" s="120"/>
      <c r="I62" s="120"/>
      <c r="J62" s="120"/>
    </row>
    <row r="63" spans="2:10" ht="21" customHeight="1">
      <c r="B63" s="16" t="s">
        <v>209</v>
      </c>
      <c r="C63" s="8"/>
      <c r="D63" s="118">
        <f t="shared" si="8"/>
        <v>0</v>
      </c>
      <c r="E63" s="120"/>
      <c r="F63" s="120"/>
      <c r="G63" s="120"/>
      <c r="H63" s="120"/>
      <c r="I63" s="120"/>
      <c r="J63" s="120"/>
    </row>
    <row r="64" spans="2:10" ht="21" customHeight="1">
      <c r="B64" s="17" t="s">
        <v>72</v>
      </c>
      <c r="C64" s="10" t="s">
        <v>73</v>
      </c>
      <c r="D64" s="117">
        <f>D66+D67</f>
        <v>0</v>
      </c>
      <c r="E64" s="117">
        <f aca="true" t="shared" si="9" ref="E64:J64">E66+E67</f>
        <v>0</v>
      </c>
      <c r="F64" s="117">
        <f t="shared" si="9"/>
        <v>0</v>
      </c>
      <c r="G64" s="117">
        <f t="shared" si="9"/>
        <v>0</v>
      </c>
      <c r="H64" s="117">
        <f t="shared" si="9"/>
        <v>0</v>
      </c>
      <c r="I64" s="117">
        <f t="shared" si="9"/>
        <v>0</v>
      </c>
      <c r="J64" s="117">
        <f t="shared" si="9"/>
        <v>0</v>
      </c>
    </row>
    <row r="65" spans="2:10" ht="10.5" customHeight="1">
      <c r="B65" s="16" t="s">
        <v>32</v>
      </c>
      <c r="C65" s="7"/>
      <c r="D65" s="117"/>
      <c r="E65" s="119"/>
      <c r="F65" s="119"/>
      <c r="G65" s="119"/>
      <c r="H65" s="119"/>
      <c r="I65" s="119"/>
      <c r="J65" s="119"/>
    </row>
    <row r="66" spans="2:10" ht="33.6" customHeight="1">
      <c r="B66" s="16" t="s">
        <v>74</v>
      </c>
      <c r="C66" s="8" t="s">
        <v>75</v>
      </c>
      <c r="D66" s="117">
        <f>D68+D69</f>
        <v>0</v>
      </c>
      <c r="E66" s="120"/>
      <c r="F66" s="120"/>
      <c r="G66" s="120"/>
      <c r="H66" s="120"/>
      <c r="I66" s="120"/>
      <c r="J66" s="120"/>
    </row>
    <row r="67" spans="2:10" ht="31.15" customHeight="1">
      <c r="B67" s="16" t="s">
        <v>76</v>
      </c>
      <c r="C67" s="8" t="s">
        <v>77</v>
      </c>
      <c r="D67" s="117">
        <f>D69+D70</f>
        <v>0</v>
      </c>
      <c r="E67" s="120"/>
      <c r="F67" s="120"/>
      <c r="G67" s="120"/>
      <c r="H67" s="120"/>
      <c r="I67" s="120"/>
      <c r="J67" s="120"/>
    </row>
    <row r="68" spans="2:10" ht="9.75" customHeight="1">
      <c r="B68" s="16" t="s">
        <v>78</v>
      </c>
      <c r="C68" s="7"/>
      <c r="D68" s="117"/>
      <c r="E68" s="122"/>
      <c r="F68" s="122"/>
      <c r="G68" s="122"/>
      <c r="H68" s="122"/>
      <c r="I68" s="122"/>
      <c r="J68" s="122"/>
    </row>
    <row r="69" spans="2:10" ht="21" customHeight="1">
      <c r="B69" s="16" t="s">
        <v>79</v>
      </c>
      <c r="C69" s="8" t="s">
        <v>36</v>
      </c>
      <c r="D69" s="117">
        <f>D71+D72</f>
        <v>0</v>
      </c>
      <c r="E69" s="120"/>
      <c r="F69" s="120"/>
      <c r="G69" s="120"/>
      <c r="H69" s="120"/>
      <c r="I69" s="120"/>
      <c r="J69" s="120"/>
    </row>
  </sheetData>
  <sheetProtection password="C541" sheet="1" objects="1" scenarios="1" formatCells="0" formatColumns="0" formatRows="0"/>
  <mergeCells count="17">
    <mergeCell ref="J17:J18"/>
    <mergeCell ref="B11:J11"/>
    <mergeCell ref="B12:J12"/>
    <mergeCell ref="B13:J13"/>
    <mergeCell ref="B14:J14"/>
    <mergeCell ref="B15:J15"/>
    <mergeCell ref="B17:B18"/>
    <mergeCell ref="C17:C18"/>
    <mergeCell ref="D17:D18"/>
    <mergeCell ref="E17:H17"/>
    <mergeCell ref="I17:I18"/>
    <mergeCell ref="G8:J8"/>
    <mergeCell ref="H1:J1"/>
    <mergeCell ref="G2:J2"/>
    <mergeCell ref="H3:J3"/>
    <mergeCell ref="G5:J5"/>
    <mergeCell ref="G7:J7"/>
  </mergeCells>
  <printOptions horizontalCentered="1"/>
  <pageMargins left="0.1968503937007874" right="0.1968503937007874" top="0.15748031496062992" bottom="0.15748031496062992" header="0.15748031496062992" footer="0.15748031496062992"/>
  <pageSetup fitToHeight="1" fitToWidth="1" horizontalDpi="600" verticalDpi="600" orientation="portrait" paperSize="9" scale="57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A69"/>
  <sheetViews>
    <sheetView view="pageBreakPreview" zoomScale="60" workbookViewId="0" topLeftCell="B46">
      <selection activeCell="E19" sqref="E19"/>
    </sheetView>
  </sheetViews>
  <sheetFormatPr defaultColWidth="9.00390625" defaultRowHeight="12.75"/>
  <cols>
    <col min="1" max="1" width="2.00390625" style="0" customWidth="1"/>
    <col min="2" max="2" width="54.75390625" style="0" customWidth="1"/>
    <col min="3" max="3" width="11.75390625" style="0" customWidth="1"/>
    <col min="4" max="4" width="16.00390625" style="0" customWidth="1"/>
    <col min="5" max="5" width="14.75390625" style="0" customWidth="1"/>
    <col min="6" max="6" width="15.25390625" style="0" customWidth="1"/>
    <col min="7" max="7" width="14.375" style="0" customWidth="1"/>
    <col min="8" max="8" width="15.375" style="0" customWidth="1"/>
    <col min="9" max="9" width="15.125" style="0" customWidth="1"/>
    <col min="10" max="10" width="14.625" style="0" customWidth="1"/>
    <col min="11" max="11" width="25.375" style="0" customWidth="1"/>
  </cols>
  <sheetData>
    <row r="1" spans="5:10" ht="12.75">
      <c r="E1" s="94"/>
      <c r="F1" s="94"/>
      <c r="G1" s="37"/>
      <c r="H1" s="408" t="str">
        <f>'Касс.пл.Внеб.(50320)'!H1:J1</f>
        <v>к протоколу № 2  от 12.03.2015г.</v>
      </c>
      <c r="I1" s="408"/>
      <c r="J1" s="408"/>
    </row>
    <row r="2" spans="5:10" ht="12.75" customHeight="1">
      <c r="E2" s="94"/>
      <c r="F2" s="94"/>
      <c r="G2" s="415"/>
      <c r="H2" s="415"/>
      <c r="I2" s="415"/>
      <c r="J2" s="415"/>
    </row>
    <row r="3" spans="5:10" ht="12.75">
      <c r="E3" s="94"/>
      <c r="F3" s="94"/>
      <c r="G3" s="37"/>
      <c r="H3" s="409"/>
      <c r="I3" s="409"/>
      <c r="J3" s="409"/>
    </row>
    <row r="4" spans="5:10" ht="13.15" customHeight="1">
      <c r="E4" s="94"/>
      <c r="F4" s="94"/>
      <c r="G4" s="86"/>
      <c r="H4" s="86"/>
      <c r="I4" s="87" t="s">
        <v>8</v>
      </c>
      <c r="J4" s="86"/>
    </row>
    <row r="5" spans="5:10" ht="12.75" customHeight="1">
      <c r="E5" s="94"/>
      <c r="F5" s="94"/>
      <c r="G5" s="410" t="str">
        <f>'Касс. план (50400)'!G5:J5</f>
        <v>Директор АСУСОН ТО "Ишимский геронтологический центр"</v>
      </c>
      <c r="H5" s="410"/>
      <c r="I5" s="410"/>
      <c r="J5" s="410"/>
    </row>
    <row r="6" spans="5:10" ht="11.45" customHeight="1">
      <c r="E6" s="94"/>
      <c r="F6" s="94"/>
      <c r="G6" s="37"/>
      <c r="H6" s="88"/>
      <c r="I6" s="89" t="s">
        <v>113</v>
      </c>
      <c r="J6" s="88"/>
    </row>
    <row r="7" spans="5:10" ht="15.6" customHeight="1">
      <c r="E7" s="94"/>
      <c r="F7" s="94"/>
      <c r="G7" s="413" t="str">
        <f>'Касс. план (50400)'!G7:J7</f>
        <v>Т.И. Сиюткина</v>
      </c>
      <c r="H7" s="413"/>
      <c r="I7" s="413"/>
      <c r="J7" s="413"/>
    </row>
    <row r="8" spans="5:10" ht="10.9" customHeight="1">
      <c r="E8" s="94"/>
      <c r="F8" s="94"/>
      <c r="G8" s="414" t="s">
        <v>136</v>
      </c>
      <c r="H8" s="414"/>
      <c r="I8" s="414"/>
      <c r="J8" s="414"/>
    </row>
    <row r="9" spans="5:10" ht="12.75">
      <c r="E9" s="94"/>
      <c r="F9" s="94"/>
      <c r="G9" s="128" t="s">
        <v>173</v>
      </c>
      <c r="H9" s="92" t="s">
        <v>202</v>
      </c>
      <c r="I9" s="92"/>
      <c r="J9" s="93"/>
    </row>
    <row r="11" spans="2:10" ht="18">
      <c r="B11" s="438" t="s">
        <v>112</v>
      </c>
      <c r="C11" s="438"/>
      <c r="D11" s="438"/>
      <c r="E11" s="438"/>
      <c r="F11" s="438"/>
      <c r="G11" s="438"/>
      <c r="H11" s="438"/>
      <c r="I11" s="438"/>
      <c r="J11" s="438"/>
    </row>
    <row r="12" spans="2:10" ht="13.9" customHeight="1">
      <c r="B12" s="431" t="s">
        <v>145</v>
      </c>
      <c r="C12" s="431"/>
      <c r="D12" s="431"/>
      <c r="E12" s="431"/>
      <c r="F12" s="431"/>
      <c r="G12" s="431"/>
      <c r="H12" s="431"/>
      <c r="I12" s="431"/>
      <c r="J12" s="431"/>
    </row>
    <row r="13" spans="2:10" ht="16.5">
      <c r="B13" s="436" t="s">
        <v>111</v>
      </c>
      <c r="C13" s="436"/>
      <c r="D13" s="436"/>
      <c r="E13" s="436"/>
      <c r="F13" s="436"/>
      <c r="G13" s="436"/>
      <c r="H13" s="436"/>
      <c r="I13" s="436"/>
      <c r="J13" s="436"/>
    </row>
    <row r="14" spans="2:27" ht="12.75" customHeight="1">
      <c r="B14" s="329" t="str">
        <f>'Касс.пл. ХМАО'!B14</f>
        <v>Автономное стационарное учреждение социального обслуживания населения Тюменской области "Ишимский геронтологический центр"</v>
      </c>
      <c r="C14" s="329"/>
      <c r="D14" s="329"/>
      <c r="E14" s="329"/>
      <c r="F14" s="329"/>
      <c r="G14" s="329"/>
      <c r="H14" s="329"/>
      <c r="I14" s="329"/>
      <c r="J14" s="329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"/>
      <c r="X14" s="1"/>
      <c r="Y14" s="1"/>
      <c r="Z14" s="1"/>
      <c r="AA14" s="1"/>
    </row>
    <row r="15" spans="2:27" ht="16.5">
      <c r="B15" s="437" t="s">
        <v>4</v>
      </c>
      <c r="C15" s="437"/>
      <c r="D15" s="437"/>
      <c r="E15" s="437"/>
      <c r="F15" s="437"/>
      <c r="G15" s="437"/>
      <c r="H15" s="437"/>
      <c r="I15" s="437"/>
      <c r="J15" s="43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2.75">
      <c r="B16" s="5"/>
      <c r="C16" s="5"/>
      <c r="D16" s="5"/>
      <c r="E16" s="5"/>
      <c r="F16" s="5"/>
      <c r="G16" s="5"/>
      <c r="H16" s="5"/>
      <c r="I16" s="5"/>
      <c r="J16" s="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10" ht="12.75">
      <c r="B17" s="432" t="s">
        <v>11</v>
      </c>
      <c r="C17" s="434" t="s">
        <v>35</v>
      </c>
      <c r="D17" s="419" t="s">
        <v>203</v>
      </c>
      <c r="E17" s="428" t="s">
        <v>98</v>
      </c>
      <c r="F17" s="429"/>
      <c r="G17" s="429"/>
      <c r="H17" s="430"/>
      <c r="I17" s="419" t="s">
        <v>143</v>
      </c>
      <c r="J17" s="419" t="s">
        <v>197</v>
      </c>
    </row>
    <row r="18" spans="2:10" ht="18" customHeight="1">
      <c r="B18" s="433"/>
      <c r="C18" s="435"/>
      <c r="D18" s="420"/>
      <c r="E18" s="129" t="s">
        <v>99</v>
      </c>
      <c r="F18" s="129" t="s">
        <v>100</v>
      </c>
      <c r="G18" s="129" t="s">
        <v>101</v>
      </c>
      <c r="H18" s="129" t="s">
        <v>102</v>
      </c>
      <c r="I18" s="420"/>
      <c r="J18" s="420"/>
    </row>
    <row r="19" spans="2:10" ht="18" customHeight="1">
      <c r="B19" s="44" t="s">
        <v>97</v>
      </c>
      <c r="C19" s="45"/>
      <c r="D19" s="114">
        <f>E19+F19+G19+H19</f>
        <v>13300</v>
      </c>
      <c r="E19" s="141">
        <f>E27</f>
        <v>13300</v>
      </c>
      <c r="F19" s="141">
        <f aca="true" t="shared" si="0" ref="F19:J19">F27</f>
        <v>0</v>
      </c>
      <c r="G19" s="141">
        <f t="shared" si="0"/>
        <v>0</v>
      </c>
      <c r="H19" s="141">
        <f t="shared" si="0"/>
        <v>0</v>
      </c>
      <c r="I19" s="141">
        <f t="shared" si="0"/>
        <v>0</v>
      </c>
      <c r="J19" s="141">
        <f t="shared" si="0"/>
        <v>0</v>
      </c>
    </row>
    <row r="20" spans="2:11" ht="18" customHeight="1">
      <c r="B20" s="44" t="s">
        <v>106</v>
      </c>
      <c r="C20" s="45"/>
      <c r="D20" s="114">
        <f>E20+F20+G20+H20</f>
        <v>0</v>
      </c>
      <c r="E20" s="114">
        <f aca="true" t="shared" si="1" ref="E20">IF(E22&gt;0,IF((E27-E19)=(E22+E23+E24+E25+E26),E27-E19,"Ошибка!"),0)</f>
        <v>0</v>
      </c>
      <c r="F20" s="114">
        <f>IF(F22&gt;0,IF((F27-F19)=(F22+F23+F24+F25+F26),F27-F19,"Ошибка!"),0)</f>
        <v>0</v>
      </c>
      <c r="G20" s="114">
        <f>IF(G22&gt;0,IF((G27-G19)=(G22+G23+G24+G25+G26),G27-G19,"Ошибка!"),0)</f>
        <v>0</v>
      </c>
      <c r="H20" s="114">
        <f>H27-H19</f>
        <v>0</v>
      </c>
      <c r="I20" s="114">
        <f aca="true" t="shared" si="2" ref="I20:J20">I27-I19</f>
        <v>0</v>
      </c>
      <c r="J20" s="114">
        <f t="shared" si="2"/>
        <v>0</v>
      </c>
      <c r="K20" s="113"/>
    </row>
    <row r="21" spans="2:10" ht="11.25" customHeight="1">
      <c r="B21" s="44" t="s">
        <v>33</v>
      </c>
      <c r="C21" s="45"/>
      <c r="D21" s="114"/>
      <c r="E21" s="116"/>
      <c r="F21" s="116"/>
      <c r="G21" s="116"/>
      <c r="H21" s="116"/>
      <c r="I21" s="116"/>
      <c r="J21" s="116"/>
    </row>
    <row r="22" spans="2:10" ht="18" customHeight="1" hidden="1">
      <c r="B22" s="44" t="str">
        <f>'Касс.пл.Внеб.(50320)'!B22</f>
        <v xml:space="preserve"> - доходы от оказания платных услуг</v>
      </c>
      <c r="C22" s="45">
        <f>'Касс.пл.Внеб.(50320)'!C22</f>
        <v>130</v>
      </c>
      <c r="D22" s="114">
        <f>E22+F22+G22+H22</f>
        <v>0</v>
      </c>
      <c r="E22" s="115"/>
      <c r="F22" s="115"/>
      <c r="G22" s="115"/>
      <c r="H22" s="115"/>
      <c r="I22" s="115"/>
      <c r="J22" s="115"/>
    </row>
    <row r="23" spans="2:10" ht="17.25" customHeight="1" hidden="1">
      <c r="B23" s="44" t="str">
        <f>'Касс.пл.Внеб.(50320)'!B23</f>
        <v xml:space="preserve"> - доходы от штрафов, пеней, иных сумм принудительного изъятия</v>
      </c>
      <c r="C23" s="45">
        <f>'Касс.пл.Внеб.(50320)'!C23</f>
        <v>140</v>
      </c>
      <c r="D23" s="114">
        <f>E23+F23+G23+H23</f>
        <v>0</v>
      </c>
      <c r="E23" s="115"/>
      <c r="F23" s="115"/>
      <c r="G23" s="115"/>
      <c r="H23" s="115"/>
      <c r="I23" s="115"/>
      <c r="J23" s="115"/>
    </row>
    <row r="24" spans="2:10" ht="13.5" customHeight="1" hidden="1">
      <c r="B24" s="44" t="str">
        <f>'Касс.пл.Внеб.(50320)'!B24</f>
        <v xml:space="preserve"> - доходы от выбытия материальных запасов</v>
      </c>
      <c r="C24" s="45">
        <f>'Касс.пл.Внеб.(50320)'!C24</f>
        <v>440</v>
      </c>
      <c r="D24" s="114">
        <f>E24+F24+G24+H24</f>
        <v>0</v>
      </c>
      <c r="E24" s="115"/>
      <c r="F24" s="115"/>
      <c r="G24" s="115"/>
      <c r="H24" s="115"/>
      <c r="I24" s="115"/>
      <c r="J24" s="115"/>
    </row>
    <row r="25" spans="2:10" ht="15" customHeight="1">
      <c r="B25" s="44" t="str">
        <f>'Касс.пл.Внеб.(50320)'!B25</f>
        <v xml:space="preserve"> - гранты</v>
      </c>
      <c r="C25" s="45">
        <f>'Касс.пл.Внеб.(50320)'!C25</f>
        <v>180</v>
      </c>
      <c r="D25" s="114">
        <f>E25+F25+G25+H25</f>
        <v>0</v>
      </c>
      <c r="E25" s="115"/>
      <c r="F25" s="115"/>
      <c r="G25" s="115"/>
      <c r="H25" s="115"/>
      <c r="I25" s="115"/>
      <c r="J25" s="115"/>
    </row>
    <row r="26" spans="2:10" ht="15" customHeight="1">
      <c r="B26" s="44" t="str">
        <f>'Касс.пл.Внеб.(50320)'!B26</f>
        <v xml:space="preserve"> - спонсорская помощь</v>
      </c>
      <c r="C26" s="45">
        <f>'Касс.пл.Внеб.(50320)'!C26</f>
        <v>180</v>
      </c>
      <c r="D26" s="114">
        <f>E26+F26+G26+H26</f>
        <v>0</v>
      </c>
      <c r="E26" s="115"/>
      <c r="F26" s="115"/>
      <c r="G26" s="115"/>
      <c r="H26" s="115"/>
      <c r="I26" s="115"/>
      <c r="J26" s="115"/>
    </row>
    <row r="27" spans="2:10" ht="21" customHeight="1">
      <c r="B27" s="44" t="s">
        <v>38</v>
      </c>
      <c r="C27" s="130"/>
      <c r="D27" s="117">
        <f aca="true" t="shared" si="3" ref="D27:J27">D29+D33+D45+D48+D52+D53+D64</f>
        <v>13300</v>
      </c>
      <c r="E27" s="117">
        <f>E29+E33+E45+E48+E52+E53+E64</f>
        <v>13300</v>
      </c>
      <c r="F27" s="117">
        <f>F29+F33+F45+F48+F52+F53+F64</f>
        <v>0</v>
      </c>
      <c r="G27" s="117">
        <f t="shared" si="3"/>
        <v>0</v>
      </c>
      <c r="H27" s="117">
        <f t="shared" si="3"/>
        <v>0</v>
      </c>
      <c r="I27" s="117">
        <f t="shared" si="3"/>
        <v>0</v>
      </c>
      <c r="J27" s="117">
        <f t="shared" si="3"/>
        <v>0</v>
      </c>
    </row>
    <row r="28" spans="2:10" ht="13.9" customHeight="1">
      <c r="B28" s="44" t="s">
        <v>33</v>
      </c>
      <c r="C28" s="130"/>
      <c r="D28" s="118"/>
      <c r="E28" s="119"/>
      <c r="F28" s="119"/>
      <c r="G28" s="119"/>
      <c r="H28" s="119"/>
      <c r="I28" s="119"/>
      <c r="J28" s="119"/>
    </row>
    <row r="29" spans="2:10" ht="27.6" customHeight="1">
      <c r="B29" s="47" t="s">
        <v>105</v>
      </c>
      <c r="C29" s="48">
        <v>210</v>
      </c>
      <c r="D29" s="117">
        <f>D30+D31+D32</f>
        <v>0</v>
      </c>
      <c r="E29" s="117">
        <f aca="true" t="shared" si="4" ref="E29:J29">E30+E31+E32</f>
        <v>0</v>
      </c>
      <c r="F29" s="117">
        <f t="shared" si="4"/>
        <v>0</v>
      </c>
      <c r="G29" s="117">
        <f t="shared" si="4"/>
        <v>0</v>
      </c>
      <c r="H29" s="117">
        <f t="shared" si="4"/>
        <v>0</v>
      </c>
      <c r="I29" s="117">
        <f t="shared" si="4"/>
        <v>0</v>
      </c>
      <c r="J29" s="117">
        <f t="shared" si="4"/>
        <v>0</v>
      </c>
    </row>
    <row r="30" spans="2:10" ht="21" customHeight="1">
      <c r="B30" s="16" t="s">
        <v>39</v>
      </c>
      <c r="C30" s="8" t="s">
        <v>40</v>
      </c>
      <c r="D30" s="118">
        <f>E30+F30+G30+H30</f>
        <v>0</v>
      </c>
      <c r="E30" s="120"/>
      <c r="F30" s="120"/>
      <c r="G30" s="120"/>
      <c r="H30" s="120"/>
      <c r="I30" s="120"/>
      <c r="J30" s="120"/>
    </row>
    <row r="31" spans="2:10" ht="21" customHeight="1">
      <c r="B31" s="16" t="s">
        <v>41</v>
      </c>
      <c r="C31" s="6">
        <v>212</v>
      </c>
      <c r="D31" s="118">
        <f>E31+F31+G31+H31</f>
        <v>0</v>
      </c>
      <c r="E31" s="120"/>
      <c r="F31" s="120"/>
      <c r="G31" s="120"/>
      <c r="H31" s="120"/>
      <c r="I31" s="120"/>
      <c r="J31" s="120"/>
    </row>
    <row r="32" spans="2:10" ht="21" customHeight="1">
      <c r="B32" s="16" t="s">
        <v>42</v>
      </c>
      <c r="C32" s="8" t="s">
        <v>43</v>
      </c>
      <c r="D32" s="118">
        <f>E32+F32+G32+H32</f>
        <v>0</v>
      </c>
      <c r="E32" s="120"/>
      <c r="F32" s="120"/>
      <c r="G32" s="120"/>
      <c r="H32" s="120"/>
      <c r="I32" s="120"/>
      <c r="J32" s="120"/>
    </row>
    <row r="33" spans="2:10" ht="21" customHeight="1">
      <c r="B33" s="17" t="s">
        <v>44</v>
      </c>
      <c r="C33" s="10" t="s">
        <v>45</v>
      </c>
      <c r="D33" s="117">
        <f aca="true" t="shared" si="5" ref="D33:J33">D35+D36+D37+D38+D39+D42</f>
        <v>13300</v>
      </c>
      <c r="E33" s="117">
        <f t="shared" si="5"/>
        <v>13300</v>
      </c>
      <c r="F33" s="117">
        <f t="shared" si="5"/>
        <v>0</v>
      </c>
      <c r="G33" s="117">
        <f t="shared" si="5"/>
        <v>0</v>
      </c>
      <c r="H33" s="117">
        <f t="shared" si="5"/>
        <v>0</v>
      </c>
      <c r="I33" s="117">
        <f t="shared" si="5"/>
        <v>0</v>
      </c>
      <c r="J33" s="117">
        <f t="shared" si="5"/>
        <v>0</v>
      </c>
    </row>
    <row r="34" spans="2:10" ht="12.75" customHeight="1">
      <c r="B34" s="16" t="s">
        <v>32</v>
      </c>
      <c r="C34" s="7"/>
      <c r="D34" s="118"/>
      <c r="E34" s="119"/>
      <c r="F34" s="119"/>
      <c r="G34" s="119"/>
      <c r="H34" s="119"/>
      <c r="I34" s="119"/>
      <c r="J34" s="119"/>
    </row>
    <row r="35" spans="2:10" ht="21" customHeight="1">
      <c r="B35" s="16" t="s">
        <v>46</v>
      </c>
      <c r="C35" s="8" t="s">
        <v>47</v>
      </c>
      <c r="D35" s="118">
        <f aca="true" t="shared" si="6" ref="D35:D45">E35+F35+G35+H35</f>
        <v>0</v>
      </c>
      <c r="E35" s="120"/>
      <c r="F35" s="120"/>
      <c r="G35" s="120"/>
      <c r="H35" s="120"/>
      <c r="I35" s="120"/>
      <c r="J35" s="120"/>
    </row>
    <row r="36" spans="2:10" ht="21" customHeight="1">
      <c r="B36" s="16" t="s">
        <v>48</v>
      </c>
      <c r="C36" s="8" t="s">
        <v>49</v>
      </c>
      <c r="D36" s="118">
        <f t="shared" si="6"/>
        <v>0</v>
      </c>
      <c r="E36" s="120"/>
      <c r="F36" s="120"/>
      <c r="G36" s="120"/>
      <c r="H36" s="120"/>
      <c r="I36" s="120"/>
      <c r="J36" s="120"/>
    </row>
    <row r="37" spans="2:10" ht="21" customHeight="1">
      <c r="B37" s="16" t="s">
        <v>50</v>
      </c>
      <c r="C37" s="8" t="s">
        <v>51</v>
      </c>
      <c r="D37" s="118">
        <f t="shared" si="6"/>
        <v>0</v>
      </c>
      <c r="E37" s="120"/>
      <c r="F37" s="120"/>
      <c r="G37" s="120"/>
      <c r="H37" s="120"/>
      <c r="I37" s="120"/>
      <c r="J37" s="120"/>
    </row>
    <row r="38" spans="2:10" ht="21" customHeight="1">
      <c r="B38" s="16" t="s">
        <v>52</v>
      </c>
      <c r="C38" s="8" t="s">
        <v>53</v>
      </c>
      <c r="D38" s="118">
        <f t="shared" si="6"/>
        <v>0</v>
      </c>
      <c r="E38" s="120"/>
      <c r="F38" s="120"/>
      <c r="G38" s="120"/>
      <c r="H38" s="120"/>
      <c r="I38" s="120"/>
      <c r="J38" s="120"/>
    </row>
    <row r="39" spans="2:10" ht="21" customHeight="1">
      <c r="B39" s="16" t="s">
        <v>54</v>
      </c>
      <c r="C39" s="6">
        <v>225</v>
      </c>
      <c r="D39" s="118">
        <f t="shared" si="6"/>
        <v>0</v>
      </c>
      <c r="E39" s="120"/>
      <c r="F39" s="120"/>
      <c r="G39" s="120"/>
      <c r="H39" s="120"/>
      <c r="I39" s="120"/>
      <c r="J39" s="120"/>
    </row>
    <row r="40" spans="2:10" ht="21" customHeight="1">
      <c r="B40" s="16" t="s">
        <v>32</v>
      </c>
      <c r="C40" s="6"/>
      <c r="D40" s="118">
        <f t="shared" si="6"/>
        <v>0</v>
      </c>
      <c r="E40" s="120"/>
      <c r="F40" s="120"/>
      <c r="G40" s="120"/>
      <c r="H40" s="120"/>
      <c r="I40" s="120"/>
      <c r="J40" s="120"/>
    </row>
    <row r="41" spans="2:10" ht="21" customHeight="1">
      <c r="B41" s="16" t="s">
        <v>204</v>
      </c>
      <c r="C41" s="6"/>
      <c r="D41" s="118">
        <f t="shared" si="6"/>
        <v>0</v>
      </c>
      <c r="E41" s="120"/>
      <c r="F41" s="120"/>
      <c r="G41" s="120"/>
      <c r="H41" s="120"/>
      <c r="I41" s="120"/>
      <c r="J41" s="120"/>
    </row>
    <row r="42" spans="2:10" ht="21" customHeight="1">
      <c r="B42" s="16" t="s">
        <v>110</v>
      </c>
      <c r="C42" s="6">
        <v>226</v>
      </c>
      <c r="D42" s="118">
        <f t="shared" si="6"/>
        <v>13300</v>
      </c>
      <c r="E42" s="120">
        <v>13300</v>
      </c>
      <c r="F42" s="120"/>
      <c r="G42" s="120"/>
      <c r="H42" s="120"/>
      <c r="I42" s="120"/>
      <c r="J42" s="120"/>
    </row>
    <row r="43" spans="2:10" ht="21" customHeight="1">
      <c r="B43" s="16" t="s">
        <v>32</v>
      </c>
      <c r="C43" s="6"/>
      <c r="D43" s="118">
        <f t="shared" si="6"/>
        <v>0</v>
      </c>
      <c r="E43" s="120"/>
      <c r="F43" s="120"/>
      <c r="G43" s="120"/>
      <c r="H43" s="120"/>
      <c r="I43" s="120"/>
      <c r="J43" s="120"/>
    </row>
    <row r="44" spans="2:10" ht="21" customHeight="1">
      <c r="B44" s="16" t="s">
        <v>205</v>
      </c>
      <c r="C44" s="6"/>
      <c r="D44" s="118">
        <f t="shared" si="6"/>
        <v>0</v>
      </c>
      <c r="E44" s="120"/>
      <c r="F44" s="120"/>
      <c r="G44" s="120"/>
      <c r="H44" s="120"/>
      <c r="I44" s="120"/>
      <c r="J44" s="120"/>
    </row>
    <row r="45" spans="2:10" ht="21" customHeight="1">
      <c r="B45" s="17" t="s">
        <v>103</v>
      </c>
      <c r="C45" s="9">
        <v>240</v>
      </c>
      <c r="D45" s="117">
        <f t="shared" si="6"/>
        <v>0</v>
      </c>
      <c r="E45" s="117">
        <f aca="true" t="shared" si="7" ref="E45:J45">E47</f>
        <v>0</v>
      </c>
      <c r="F45" s="117">
        <f t="shared" si="7"/>
        <v>0</v>
      </c>
      <c r="G45" s="117">
        <f t="shared" si="7"/>
        <v>0</v>
      </c>
      <c r="H45" s="117">
        <f t="shared" si="7"/>
        <v>0</v>
      </c>
      <c r="I45" s="117">
        <f t="shared" si="7"/>
        <v>0</v>
      </c>
      <c r="J45" s="117">
        <f t="shared" si="7"/>
        <v>0</v>
      </c>
    </row>
    <row r="46" spans="2:10" ht="12.75" customHeight="1">
      <c r="B46" s="16" t="s">
        <v>32</v>
      </c>
      <c r="C46" s="6"/>
      <c r="D46" s="117"/>
      <c r="E46" s="119"/>
      <c r="F46" s="119"/>
      <c r="G46" s="119"/>
      <c r="H46" s="119"/>
      <c r="I46" s="119"/>
      <c r="J46" s="119"/>
    </row>
    <row r="47" spans="2:10" ht="31.5" customHeight="1">
      <c r="B47" s="18" t="s">
        <v>104</v>
      </c>
      <c r="C47" s="8" t="s">
        <v>55</v>
      </c>
      <c r="D47" s="117">
        <f>E47+F47+G47+H47</f>
        <v>0</v>
      </c>
      <c r="E47" s="120"/>
      <c r="F47" s="120"/>
      <c r="G47" s="120"/>
      <c r="H47" s="120"/>
      <c r="I47" s="120"/>
      <c r="J47" s="120"/>
    </row>
    <row r="48" spans="2:10" ht="21" customHeight="1">
      <c r="B48" s="17" t="s">
        <v>56</v>
      </c>
      <c r="C48" s="10" t="s">
        <v>57</v>
      </c>
      <c r="D48" s="117">
        <f>D50+D51</f>
        <v>0</v>
      </c>
      <c r="E48" s="117">
        <f aca="true" t="shared" si="8" ref="E48:J48">E50+E51</f>
        <v>0</v>
      </c>
      <c r="F48" s="117">
        <f t="shared" si="8"/>
        <v>0</v>
      </c>
      <c r="G48" s="117">
        <f t="shared" si="8"/>
        <v>0</v>
      </c>
      <c r="H48" s="117">
        <f t="shared" si="8"/>
        <v>0</v>
      </c>
      <c r="I48" s="117">
        <f t="shared" si="8"/>
        <v>0</v>
      </c>
      <c r="J48" s="117">
        <f t="shared" si="8"/>
        <v>0</v>
      </c>
    </row>
    <row r="49" spans="2:10" ht="9.75" customHeight="1">
      <c r="B49" s="16" t="s">
        <v>32</v>
      </c>
      <c r="C49" s="7"/>
      <c r="D49" s="118"/>
      <c r="E49" s="119"/>
      <c r="F49" s="119"/>
      <c r="G49" s="119"/>
      <c r="H49" s="119"/>
      <c r="I49" s="119"/>
      <c r="J49" s="119"/>
    </row>
    <row r="50" spans="2:10" ht="21" customHeight="1">
      <c r="B50" s="16" t="s">
        <v>58</v>
      </c>
      <c r="C50" s="8" t="s">
        <v>59</v>
      </c>
      <c r="D50" s="117">
        <f>E50+F50+G50+H50</f>
        <v>0</v>
      </c>
      <c r="E50" s="120"/>
      <c r="F50" s="120"/>
      <c r="G50" s="120"/>
      <c r="H50" s="120"/>
      <c r="I50" s="120"/>
      <c r="J50" s="120"/>
    </row>
    <row r="51" spans="2:10" ht="35.45" customHeight="1">
      <c r="B51" s="16" t="s">
        <v>60</v>
      </c>
      <c r="C51" s="8" t="s">
        <v>61</v>
      </c>
      <c r="D51" s="117">
        <f>E51+F51+G51+H51</f>
        <v>0</v>
      </c>
      <c r="E51" s="120"/>
      <c r="F51" s="120"/>
      <c r="G51" s="120"/>
      <c r="H51" s="120"/>
      <c r="I51" s="120"/>
      <c r="J51" s="120"/>
    </row>
    <row r="52" spans="2:10" ht="21" customHeight="1">
      <c r="B52" s="17" t="s">
        <v>62</v>
      </c>
      <c r="C52" s="10" t="s">
        <v>63</v>
      </c>
      <c r="D52" s="117">
        <f>E52+F52+G52+H52</f>
        <v>0</v>
      </c>
      <c r="E52" s="121"/>
      <c r="F52" s="121"/>
      <c r="G52" s="121"/>
      <c r="H52" s="121"/>
      <c r="I52" s="121"/>
      <c r="J52" s="121"/>
    </row>
    <row r="53" spans="2:10" ht="35.45" customHeight="1">
      <c r="B53" s="17" t="s">
        <v>64</v>
      </c>
      <c r="C53" s="10" t="s">
        <v>65</v>
      </c>
      <c r="D53" s="117">
        <f aca="true" t="shared" si="9" ref="D53:J53">D55+D56+D57+D58</f>
        <v>0</v>
      </c>
      <c r="E53" s="117">
        <f t="shared" si="9"/>
        <v>0</v>
      </c>
      <c r="F53" s="117">
        <f t="shared" si="9"/>
        <v>0</v>
      </c>
      <c r="G53" s="117">
        <f t="shared" si="9"/>
        <v>0</v>
      </c>
      <c r="H53" s="117">
        <f t="shared" si="9"/>
        <v>0</v>
      </c>
      <c r="I53" s="117">
        <f t="shared" si="9"/>
        <v>0</v>
      </c>
      <c r="J53" s="117">
        <f t="shared" si="9"/>
        <v>0</v>
      </c>
    </row>
    <row r="54" spans="2:10" ht="10.5" customHeight="1">
      <c r="B54" s="16" t="s">
        <v>32</v>
      </c>
      <c r="C54" s="7"/>
      <c r="D54" s="118"/>
      <c r="E54" s="119"/>
      <c r="F54" s="119"/>
      <c r="G54" s="119"/>
      <c r="H54" s="119"/>
      <c r="I54" s="119"/>
      <c r="J54" s="119"/>
    </row>
    <row r="55" spans="2:10" ht="27.6" customHeight="1">
      <c r="B55" s="16" t="s">
        <v>66</v>
      </c>
      <c r="C55" s="8" t="s">
        <v>67</v>
      </c>
      <c r="D55" s="118">
        <f>E55+F55+G55+H55</f>
        <v>0</v>
      </c>
      <c r="E55" s="120"/>
      <c r="F55" s="120"/>
      <c r="G55" s="120"/>
      <c r="H55" s="120"/>
      <c r="I55" s="120"/>
      <c r="J55" s="120"/>
    </row>
    <row r="56" spans="2:10" ht="27.6" customHeight="1">
      <c r="B56" s="16" t="s">
        <v>68</v>
      </c>
      <c r="C56" s="8" t="s">
        <v>69</v>
      </c>
      <c r="D56" s="118">
        <f>E56+F56+G56+H56</f>
        <v>0</v>
      </c>
      <c r="E56" s="120"/>
      <c r="F56" s="120"/>
      <c r="G56" s="120"/>
      <c r="H56" s="120"/>
      <c r="I56" s="120"/>
      <c r="J56" s="120"/>
    </row>
    <row r="57" spans="2:10" ht="37.9" customHeight="1">
      <c r="B57" s="16" t="s">
        <v>80</v>
      </c>
      <c r="C57" s="8" t="s">
        <v>81</v>
      </c>
      <c r="D57" s="118">
        <f>E57+F57+G57+H57</f>
        <v>0</v>
      </c>
      <c r="E57" s="120"/>
      <c r="F57" s="120"/>
      <c r="G57" s="120"/>
      <c r="H57" s="120"/>
      <c r="I57" s="120"/>
      <c r="J57" s="120"/>
    </row>
    <row r="58" spans="2:10" ht="21" customHeight="1">
      <c r="B58" s="16" t="s">
        <v>70</v>
      </c>
      <c r="C58" s="8" t="s">
        <v>71</v>
      </c>
      <c r="D58" s="118">
        <f>E58+F58+G58+H58</f>
        <v>0</v>
      </c>
      <c r="E58" s="120"/>
      <c r="F58" s="120"/>
      <c r="G58" s="120"/>
      <c r="H58" s="120"/>
      <c r="I58" s="120"/>
      <c r="J58" s="120"/>
    </row>
    <row r="59" spans="2:10" ht="21" customHeight="1">
      <c r="B59" s="16" t="s">
        <v>32</v>
      </c>
      <c r="C59" s="8"/>
      <c r="D59" s="118">
        <f aca="true" t="shared" si="10" ref="D59:D63">E59+F59+G59+H59</f>
        <v>0</v>
      </c>
      <c r="E59" s="120"/>
      <c r="F59" s="120"/>
      <c r="G59" s="120"/>
      <c r="H59" s="120"/>
      <c r="I59" s="120"/>
      <c r="J59" s="120"/>
    </row>
    <row r="60" spans="2:10" ht="21" customHeight="1">
      <c r="B60" s="16" t="s">
        <v>206</v>
      </c>
      <c r="C60" s="8"/>
      <c r="D60" s="118">
        <f t="shared" si="10"/>
        <v>0</v>
      </c>
      <c r="E60" s="120"/>
      <c r="F60" s="120"/>
      <c r="G60" s="120"/>
      <c r="H60" s="120"/>
      <c r="I60" s="120"/>
      <c r="J60" s="120"/>
    </row>
    <row r="61" spans="2:10" ht="21" customHeight="1">
      <c r="B61" s="16" t="s">
        <v>207</v>
      </c>
      <c r="C61" s="8"/>
      <c r="D61" s="118">
        <f t="shared" si="10"/>
        <v>0</v>
      </c>
      <c r="E61" s="120"/>
      <c r="F61" s="120"/>
      <c r="G61" s="120"/>
      <c r="H61" s="120"/>
      <c r="I61" s="120"/>
      <c r="J61" s="120"/>
    </row>
    <row r="62" spans="2:10" ht="21" customHeight="1">
      <c r="B62" s="16" t="s">
        <v>208</v>
      </c>
      <c r="C62" s="8"/>
      <c r="D62" s="118">
        <f t="shared" si="10"/>
        <v>0</v>
      </c>
      <c r="E62" s="120"/>
      <c r="F62" s="120"/>
      <c r="G62" s="120"/>
      <c r="H62" s="120"/>
      <c r="I62" s="120"/>
      <c r="J62" s="120"/>
    </row>
    <row r="63" spans="2:10" ht="21" customHeight="1">
      <c r="B63" s="16" t="s">
        <v>209</v>
      </c>
      <c r="C63" s="8"/>
      <c r="D63" s="118">
        <f t="shared" si="10"/>
        <v>0</v>
      </c>
      <c r="E63" s="120"/>
      <c r="F63" s="120"/>
      <c r="G63" s="120"/>
      <c r="H63" s="120"/>
      <c r="I63" s="120"/>
      <c r="J63" s="120"/>
    </row>
    <row r="64" spans="2:10" ht="21" customHeight="1">
      <c r="B64" s="17" t="s">
        <v>72</v>
      </c>
      <c r="C64" s="10" t="s">
        <v>73</v>
      </c>
      <c r="D64" s="117">
        <f>D66+D67</f>
        <v>0</v>
      </c>
      <c r="E64" s="117">
        <f aca="true" t="shared" si="11" ref="E64:J64">E66+E67</f>
        <v>0</v>
      </c>
      <c r="F64" s="117">
        <f t="shared" si="11"/>
        <v>0</v>
      </c>
      <c r="G64" s="117">
        <f t="shared" si="11"/>
        <v>0</v>
      </c>
      <c r="H64" s="117">
        <f t="shared" si="11"/>
        <v>0</v>
      </c>
      <c r="I64" s="117">
        <f t="shared" si="11"/>
        <v>0</v>
      </c>
      <c r="J64" s="117">
        <f t="shared" si="11"/>
        <v>0</v>
      </c>
    </row>
    <row r="65" spans="2:10" ht="10.5" customHeight="1">
      <c r="B65" s="16" t="s">
        <v>32</v>
      </c>
      <c r="C65" s="7"/>
      <c r="D65" s="117"/>
      <c r="E65" s="119"/>
      <c r="F65" s="119"/>
      <c r="G65" s="119"/>
      <c r="H65" s="119"/>
      <c r="I65" s="119"/>
      <c r="J65" s="119"/>
    </row>
    <row r="66" spans="2:10" ht="33.6" customHeight="1">
      <c r="B66" s="16" t="s">
        <v>74</v>
      </c>
      <c r="C66" s="8" t="s">
        <v>75</v>
      </c>
      <c r="D66" s="117">
        <f>D68+D69</f>
        <v>0</v>
      </c>
      <c r="E66" s="120"/>
      <c r="F66" s="120"/>
      <c r="G66" s="120"/>
      <c r="H66" s="120"/>
      <c r="I66" s="120"/>
      <c r="J66" s="120"/>
    </row>
    <row r="67" spans="2:10" ht="31.15" customHeight="1">
      <c r="B67" s="16" t="s">
        <v>76</v>
      </c>
      <c r="C67" s="8" t="s">
        <v>77</v>
      </c>
      <c r="D67" s="117">
        <f>D69+D70</f>
        <v>0</v>
      </c>
      <c r="E67" s="120"/>
      <c r="F67" s="120"/>
      <c r="G67" s="120"/>
      <c r="H67" s="120"/>
      <c r="I67" s="120"/>
      <c r="J67" s="120"/>
    </row>
    <row r="68" spans="2:10" ht="9.75" customHeight="1">
      <c r="B68" s="16" t="s">
        <v>78</v>
      </c>
      <c r="C68" s="7"/>
      <c r="D68" s="117"/>
      <c r="E68" s="122"/>
      <c r="F68" s="122"/>
      <c r="G68" s="122"/>
      <c r="H68" s="122"/>
      <c r="I68" s="122"/>
      <c r="J68" s="122"/>
    </row>
    <row r="69" spans="2:10" ht="21" customHeight="1">
      <c r="B69" s="16" t="s">
        <v>79</v>
      </c>
      <c r="C69" s="8" t="s">
        <v>36</v>
      </c>
      <c r="D69" s="117">
        <f>D71+D72</f>
        <v>0</v>
      </c>
      <c r="E69" s="120"/>
      <c r="F69" s="120"/>
      <c r="G69" s="120"/>
      <c r="H69" s="120"/>
      <c r="I69" s="120"/>
      <c r="J69" s="120"/>
    </row>
  </sheetData>
  <sheetProtection password="C541" sheet="1" objects="1" scenarios="1" formatCells="0" formatColumns="0" formatRows="0"/>
  <mergeCells count="17">
    <mergeCell ref="J17:J18"/>
    <mergeCell ref="B11:J11"/>
    <mergeCell ref="B12:J12"/>
    <mergeCell ref="B13:J13"/>
    <mergeCell ref="B14:J14"/>
    <mergeCell ref="B15:J15"/>
    <mergeCell ref="B17:B18"/>
    <mergeCell ref="C17:C18"/>
    <mergeCell ref="D17:D18"/>
    <mergeCell ref="E17:H17"/>
    <mergeCell ref="I17:I18"/>
    <mergeCell ref="G8:J8"/>
    <mergeCell ref="H1:J1"/>
    <mergeCell ref="G2:J2"/>
    <mergeCell ref="H3:J3"/>
    <mergeCell ref="G5:J5"/>
    <mergeCell ref="G7:J7"/>
  </mergeCells>
  <printOptions horizontalCentered="1"/>
  <pageMargins left="0.1968503937007874" right="0.1968503937007874" top="0.15748031496062992" bottom="0.15748031496062992" header="0.15748031496062992" footer="0.15748031496062992"/>
  <pageSetup fitToHeight="1" fitToWidth="1" horizontalDpi="600" verticalDpi="600" orientation="portrait" paperSize="9" scale="59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A63"/>
  <sheetViews>
    <sheetView view="pageBreakPreview" zoomScale="60" workbookViewId="0" topLeftCell="A40">
      <selection activeCell="G8" sqref="G8:J8"/>
    </sheetView>
  </sheetViews>
  <sheetFormatPr defaultColWidth="9.00390625" defaultRowHeight="12.75"/>
  <cols>
    <col min="1" max="1" width="1.875" style="0" customWidth="1"/>
    <col min="2" max="2" width="54.75390625" style="0" customWidth="1"/>
    <col min="3" max="3" width="11.375" style="0" customWidth="1"/>
    <col min="4" max="4" width="16.00390625" style="0" customWidth="1"/>
    <col min="5" max="5" width="14.75390625" style="0" customWidth="1"/>
    <col min="6" max="8" width="14.00390625" style="0" customWidth="1"/>
    <col min="9" max="9" width="15.125" style="0" customWidth="1"/>
    <col min="10" max="10" width="14.625" style="0" customWidth="1"/>
  </cols>
  <sheetData>
    <row r="1" spans="5:10" ht="12.75">
      <c r="E1" s="94"/>
      <c r="F1" s="94"/>
      <c r="G1" s="37"/>
      <c r="H1" s="408"/>
      <c r="I1" s="408"/>
      <c r="J1" s="408"/>
    </row>
    <row r="2" spans="5:10" ht="12.75" customHeight="1">
      <c r="E2" s="94"/>
      <c r="F2" s="94"/>
      <c r="G2" s="415" t="str">
        <f>'Остаток Внеб.(50300)'!G2:J2</f>
        <v>к протоколу № 2 от 12.03.2015.</v>
      </c>
      <c r="H2" s="415"/>
      <c r="I2" s="415"/>
      <c r="J2" s="415"/>
    </row>
    <row r="3" spans="5:10" ht="12.75">
      <c r="E3" s="94"/>
      <c r="F3" s="94"/>
      <c r="G3" s="37"/>
      <c r="H3" s="409"/>
      <c r="I3" s="409"/>
      <c r="J3" s="409"/>
    </row>
    <row r="4" spans="5:10" ht="13.15" customHeight="1">
      <c r="E4" s="94"/>
      <c r="F4" s="94"/>
      <c r="G4" s="86"/>
      <c r="H4" s="86"/>
      <c r="I4" s="87" t="s">
        <v>8</v>
      </c>
      <c r="J4" s="86"/>
    </row>
    <row r="5" spans="5:10" ht="12.75" customHeight="1">
      <c r="E5" s="94"/>
      <c r="F5" s="94"/>
      <c r="G5" s="410" t="str">
        <f>'Касс. план (50400)'!G5:J5</f>
        <v>Директор АСУСОН ТО "Ишимский геронтологический центр"</v>
      </c>
      <c r="H5" s="410"/>
      <c r="I5" s="410"/>
      <c r="J5" s="410"/>
    </row>
    <row r="6" spans="5:10" ht="11.45" customHeight="1">
      <c r="E6" s="94"/>
      <c r="F6" s="94"/>
      <c r="G6" s="37"/>
      <c r="H6" s="88"/>
      <c r="I6" s="89" t="s">
        <v>113</v>
      </c>
      <c r="J6" s="88"/>
    </row>
    <row r="7" spans="5:10" ht="15.6" customHeight="1">
      <c r="E7" s="94"/>
      <c r="F7" s="94"/>
      <c r="G7" s="413" t="str">
        <f>'Касс. план (50400)'!G7:J7</f>
        <v>Т.И. Сиюткина</v>
      </c>
      <c r="H7" s="413"/>
      <c r="I7" s="413"/>
      <c r="J7" s="413"/>
    </row>
    <row r="8" spans="5:10" ht="10.9" customHeight="1">
      <c r="E8" s="94"/>
      <c r="F8" s="94"/>
      <c r="G8" s="414" t="s">
        <v>136</v>
      </c>
      <c r="H8" s="414"/>
      <c r="I8" s="414"/>
      <c r="J8" s="414"/>
    </row>
    <row r="9" spans="5:10" ht="12.75">
      <c r="E9" s="38"/>
      <c r="F9" s="85"/>
      <c r="G9" s="128" t="s">
        <v>173</v>
      </c>
      <c r="H9" s="92" t="s">
        <v>210</v>
      </c>
      <c r="I9" s="92"/>
      <c r="J9" s="93"/>
    </row>
    <row r="11" spans="2:10" ht="18">
      <c r="B11" s="438" t="s">
        <v>112</v>
      </c>
      <c r="C11" s="438"/>
      <c r="D11" s="438"/>
      <c r="E11" s="438"/>
      <c r="F11" s="438"/>
      <c r="G11" s="438"/>
      <c r="H11" s="438"/>
      <c r="I11" s="438"/>
      <c r="J11" s="438"/>
    </row>
    <row r="12" spans="2:10" ht="13.9" customHeight="1">
      <c r="B12" s="431" t="s">
        <v>121</v>
      </c>
      <c r="C12" s="431"/>
      <c r="D12" s="431"/>
      <c r="E12" s="431"/>
      <c r="F12" s="431"/>
      <c r="G12" s="431"/>
      <c r="H12" s="431"/>
      <c r="I12" s="431"/>
      <c r="J12" s="431"/>
    </row>
    <row r="13" spans="2:10" ht="16.5">
      <c r="B13" s="436" t="s">
        <v>111</v>
      </c>
      <c r="C13" s="436"/>
      <c r="D13" s="436"/>
      <c r="E13" s="436"/>
      <c r="F13" s="436"/>
      <c r="G13" s="436"/>
      <c r="H13" s="436"/>
      <c r="I13" s="436"/>
      <c r="J13" s="436"/>
    </row>
    <row r="14" spans="2:27" ht="12.75" customHeight="1">
      <c r="B14" s="329" t="str">
        <f>'Касс.пл.Внеб.(50300)СВОД'!B14</f>
        <v>Автономное стационарное учреждение социального обслуживания населения Тюменской области "Ишимский геронтологический центр"</v>
      </c>
      <c r="C14" s="329"/>
      <c r="D14" s="329"/>
      <c r="E14" s="329"/>
      <c r="F14" s="329"/>
      <c r="G14" s="329"/>
      <c r="H14" s="329"/>
      <c r="I14" s="329"/>
      <c r="J14" s="329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"/>
      <c r="X14" s="1"/>
      <c r="Y14" s="1"/>
      <c r="Z14" s="1"/>
      <c r="AA14" s="1"/>
    </row>
    <row r="15" spans="2:27" ht="16.5">
      <c r="B15" s="437" t="s">
        <v>4</v>
      </c>
      <c r="C15" s="437"/>
      <c r="D15" s="437"/>
      <c r="E15" s="437"/>
      <c r="F15" s="437"/>
      <c r="G15" s="437"/>
      <c r="H15" s="437"/>
      <c r="I15" s="437"/>
      <c r="J15" s="43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2.75">
      <c r="B16" s="5"/>
      <c r="C16" s="5"/>
      <c r="D16" s="5"/>
      <c r="E16" s="5"/>
      <c r="F16" s="5"/>
      <c r="G16" s="5"/>
      <c r="H16" s="5"/>
      <c r="I16" s="5"/>
      <c r="J16" s="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10" ht="12.75">
      <c r="B17" s="432" t="s">
        <v>11</v>
      </c>
      <c r="C17" s="434" t="s">
        <v>35</v>
      </c>
      <c r="D17" s="419" t="s">
        <v>203</v>
      </c>
      <c r="E17" s="428" t="s">
        <v>98</v>
      </c>
      <c r="F17" s="429"/>
      <c r="G17" s="429"/>
      <c r="H17" s="430"/>
      <c r="I17" s="419" t="s">
        <v>143</v>
      </c>
      <c r="J17" s="419" t="s">
        <v>197</v>
      </c>
    </row>
    <row r="18" spans="2:10" ht="18" customHeight="1">
      <c r="B18" s="433"/>
      <c r="C18" s="435"/>
      <c r="D18" s="420"/>
      <c r="E18" s="14" t="s">
        <v>99</v>
      </c>
      <c r="F18" s="14" t="s">
        <v>100</v>
      </c>
      <c r="G18" s="14" t="s">
        <v>101</v>
      </c>
      <c r="H18" s="14" t="s">
        <v>102</v>
      </c>
      <c r="I18" s="420"/>
      <c r="J18" s="420"/>
    </row>
    <row r="19" spans="2:10" ht="18" customHeight="1">
      <c r="B19" s="12" t="s">
        <v>97</v>
      </c>
      <c r="C19" s="15"/>
      <c r="D19" s="77">
        <f>E19+F19+G19+H19</f>
        <v>0</v>
      </c>
      <c r="E19" s="161">
        <f>'Остаток по субсидии'!E19</f>
        <v>0</v>
      </c>
      <c r="F19" s="161">
        <f>'Остаток по субсидии'!F19</f>
        <v>0</v>
      </c>
      <c r="G19" s="161">
        <f>'Остаток по субсидии'!G19</f>
        <v>0</v>
      </c>
      <c r="H19" s="161">
        <f>'Остаток по субсидии'!H19</f>
        <v>0</v>
      </c>
      <c r="I19" s="161">
        <f>'Остаток по субсидии'!I19</f>
        <v>0</v>
      </c>
      <c r="J19" s="161">
        <f>'Остаток по субсидии'!J19</f>
        <v>0</v>
      </c>
    </row>
    <row r="20" spans="2:10" ht="18" customHeight="1">
      <c r="B20" s="12" t="s">
        <v>106</v>
      </c>
      <c r="C20" s="15"/>
      <c r="D20" s="77">
        <f>E20+F20+G20+H20</f>
        <v>0</v>
      </c>
      <c r="E20" s="77">
        <f aca="true" t="shared" si="0" ref="E20:J20">E21-E19</f>
        <v>0</v>
      </c>
      <c r="F20" s="77">
        <f t="shared" si="0"/>
        <v>0</v>
      </c>
      <c r="G20" s="77">
        <f t="shared" si="0"/>
        <v>0</v>
      </c>
      <c r="H20" s="77">
        <f t="shared" si="0"/>
        <v>0</v>
      </c>
      <c r="I20" s="77">
        <f t="shared" si="0"/>
        <v>0</v>
      </c>
      <c r="J20" s="77">
        <f t="shared" si="0"/>
        <v>0</v>
      </c>
    </row>
    <row r="21" spans="2:10" ht="21" customHeight="1">
      <c r="B21" s="12" t="s">
        <v>38</v>
      </c>
      <c r="C21" s="13"/>
      <c r="D21" s="77">
        <f>E21+F21+G21+H21</f>
        <v>0</v>
      </c>
      <c r="E21" s="78">
        <f>E23+E27+E39+E42+E46+E47+E58</f>
        <v>0</v>
      </c>
      <c r="F21" s="78">
        <f aca="true" t="shared" si="1" ref="F21:J21">F23+F27+F39+F42+F46+F47+F58</f>
        <v>0</v>
      </c>
      <c r="G21" s="78">
        <f t="shared" si="1"/>
        <v>0</v>
      </c>
      <c r="H21" s="78">
        <f t="shared" si="1"/>
        <v>0</v>
      </c>
      <c r="I21" s="78">
        <f t="shared" si="1"/>
        <v>0</v>
      </c>
      <c r="J21" s="78">
        <f t="shared" si="1"/>
        <v>0</v>
      </c>
    </row>
    <row r="22" spans="2:10" ht="11.25" customHeight="1">
      <c r="B22" s="12" t="s">
        <v>33</v>
      </c>
      <c r="C22" s="13"/>
      <c r="D22" s="77"/>
      <c r="E22" s="27"/>
      <c r="F22" s="27"/>
      <c r="G22" s="27"/>
      <c r="H22" s="27"/>
      <c r="I22" s="27"/>
      <c r="J22" s="27"/>
    </row>
    <row r="23" spans="2:10" ht="27.6" customHeight="1">
      <c r="B23" s="17" t="s">
        <v>105</v>
      </c>
      <c r="C23" s="20">
        <v>210</v>
      </c>
      <c r="D23" s="77">
        <f aca="true" t="shared" si="2" ref="D23:D39">E23+F23+G23+H23</f>
        <v>0</v>
      </c>
      <c r="E23" s="76">
        <f aca="true" t="shared" si="3" ref="E23:J23">E24+E25+E26</f>
        <v>0</v>
      </c>
      <c r="F23" s="76">
        <f t="shared" si="3"/>
        <v>0</v>
      </c>
      <c r="G23" s="76">
        <f>G24+G25+G26</f>
        <v>0</v>
      </c>
      <c r="H23" s="76">
        <f t="shared" si="3"/>
        <v>0</v>
      </c>
      <c r="I23" s="76">
        <f t="shared" si="3"/>
        <v>0</v>
      </c>
      <c r="J23" s="76">
        <f t="shared" si="3"/>
        <v>0</v>
      </c>
    </row>
    <row r="24" spans="2:10" ht="21" customHeight="1">
      <c r="B24" s="16" t="s">
        <v>39</v>
      </c>
      <c r="C24" s="8" t="s">
        <v>40</v>
      </c>
      <c r="D24" s="77">
        <f t="shared" si="2"/>
        <v>0</v>
      </c>
      <c r="E24" s="75"/>
      <c r="F24" s="75"/>
      <c r="G24" s="75"/>
      <c r="H24" s="75"/>
      <c r="I24" s="75"/>
      <c r="J24" s="75"/>
    </row>
    <row r="25" spans="2:10" ht="21" customHeight="1">
      <c r="B25" s="16" t="s">
        <v>41</v>
      </c>
      <c r="C25" s="6">
        <v>212</v>
      </c>
      <c r="D25" s="77">
        <f t="shared" si="2"/>
        <v>0</v>
      </c>
      <c r="E25" s="75"/>
      <c r="F25" s="75"/>
      <c r="G25" s="75"/>
      <c r="H25" s="75"/>
      <c r="I25" s="75"/>
      <c r="J25" s="75"/>
    </row>
    <row r="26" spans="2:10" ht="21" customHeight="1">
      <c r="B26" s="16" t="s">
        <v>42</v>
      </c>
      <c r="C26" s="8" t="s">
        <v>43</v>
      </c>
      <c r="D26" s="77">
        <f t="shared" si="2"/>
        <v>0</v>
      </c>
      <c r="E26" s="75"/>
      <c r="F26" s="75"/>
      <c r="G26" s="75"/>
      <c r="H26" s="75"/>
      <c r="I26" s="75"/>
      <c r="J26" s="75"/>
    </row>
    <row r="27" spans="2:10" ht="21" customHeight="1">
      <c r="B27" s="17" t="s">
        <v>44</v>
      </c>
      <c r="C27" s="10" t="s">
        <v>45</v>
      </c>
      <c r="D27" s="77">
        <f t="shared" si="2"/>
        <v>0</v>
      </c>
      <c r="E27" s="76">
        <f aca="true" t="shared" si="4" ref="E27:J27">E29+E30+E31+E32+E33+E36</f>
        <v>0</v>
      </c>
      <c r="F27" s="76">
        <f t="shared" si="4"/>
        <v>0</v>
      </c>
      <c r="G27" s="76">
        <f t="shared" si="4"/>
        <v>0</v>
      </c>
      <c r="H27" s="76">
        <f t="shared" si="4"/>
        <v>0</v>
      </c>
      <c r="I27" s="76">
        <f t="shared" si="4"/>
        <v>0</v>
      </c>
      <c r="J27" s="76">
        <f t="shared" si="4"/>
        <v>0</v>
      </c>
    </row>
    <row r="28" spans="2:10" ht="11.25" customHeight="1">
      <c r="B28" s="16" t="s">
        <v>32</v>
      </c>
      <c r="C28" s="7"/>
      <c r="D28" s="77">
        <f t="shared" si="2"/>
        <v>0</v>
      </c>
      <c r="E28" s="27"/>
      <c r="F28" s="27"/>
      <c r="G28" s="27"/>
      <c r="H28" s="27"/>
      <c r="I28" s="27"/>
      <c r="J28" s="27"/>
    </row>
    <row r="29" spans="2:10" ht="21" customHeight="1">
      <c r="B29" s="16" t="s">
        <v>46</v>
      </c>
      <c r="C29" s="8" t="s">
        <v>47</v>
      </c>
      <c r="D29" s="77">
        <f t="shared" si="2"/>
        <v>0</v>
      </c>
      <c r="E29" s="75"/>
      <c r="F29" s="75"/>
      <c r="G29" s="75"/>
      <c r="H29" s="75"/>
      <c r="I29" s="75"/>
      <c r="J29" s="75"/>
    </row>
    <row r="30" spans="2:10" ht="21" customHeight="1">
      <c r="B30" s="16" t="s">
        <v>48</v>
      </c>
      <c r="C30" s="8" t="s">
        <v>49</v>
      </c>
      <c r="D30" s="77">
        <f t="shared" si="2"/>
        <v>0</v>
      </c>
      <c r="E30" s="75"/>
      <c r="F30" s="75"/>
      <c r="G30" s="75"/>
      <c r="H30" s="75"/>
      <c r="I30" s="75"/>
      <c r="J30" s="75"/>
    </row>
    <row r="31" spans="2:10" ht="21" customHeight="1">
      <c r="B31" s="16" t="s">
        <v>50</v>
      </c>
      <c r="C31" s="8" t="s">
        <v>51</v>
      </c>
      <c r="D31" s="77">
        <f t="shared" si="2"/>
        <v>0</v>
      </c>
      <c r="E31" s="75"/>
      <c r="F31" s="75"/>
      <c r="G31" s="75"/>
      <c r="H31" s="75"/>
      <c r="I31" s="75"/>
      <c r="J31" s="75"/>
    </row>
    <row r="32" spans="2:10" ht="21" customHeight="1">
      <c r="B32" s="16" t="s">
        <v>52</v>
      </c>
      <c r="C32" s="8" t="s">
        <v>53</v>
      </c>
      <c r="D32" s="77">
        <f t="shared" si="2"/>
        <v>0</v>
      </c>
      <c r="E32" s="75"/>
      <c r="F32" s="75"/>
      <c r="G32" s="75"/>
      <c r="H32" s="75"/>
      <c r="I32" s="75"/>
      <c r="J32" s="75"/>
    </row>
    <row r="33" spans="2:10" ht="21" customHeight="1">
      <c r="B33" s="16" t="s">
        <v>54</v>
      </c>
      <c r="C33" s="6">
        <v>225</v>
      </c>
      <c r="D33" s="77">
        <f t="shared" si="2"/>
        <v>0</v>
      </c>
      <c r="E33" s="75"/>
      <c r="F33" s="75"/>
      <c r="G33" s="75"/>
      <c r="H33" s="75"/>
      <c r="I33" s="75"/>
      <c r="J33" s="75"/>
    </row>
    <row r="34" spans="2:10" ht="21" customHeight="1">
      <c r="B34" s="16" t="s">
        <v>32</v>
      </c>
      <c r="C34" s="6"/>
      <c r="D34" s="77">
        <f t="shared" si="2"/>
        <v>0</v>
      </c>
      <c r="E34" s="75"/>
      <c r="F34" s="75"/>
      <c r="G34" s="75"/>
      <c r="H34" s="75"/>
      <c r="I34" s="75"/>
      <c r="J34" s="75"/>
    </row>
    <row r="35" spans="2:10" ht="21" customHeight="1">
      <c r="B35" s="16" t="s">
        <v>204</v>
      </c>
      <c r="C35" s="6"/>
      <c r="D35" s="77">
        <f t="shared" si="2"/>
        <v>0</v>
      </c>
      <c r="E35" s="75"/>
      <c r="F35" s="75"/>
      <c r="G35" s="75"/>
      <c r="H35" s="75"/>
      <c r="I35" s="75"/>
      <c r="J35" s="75"/>
    </row>
    <row r="36" spans="2:10" ht="21" customHeight="1">
      <c r="B36" s="16" t="s">
        <v>110</v>
      </c>
      <c r="C36" s="6">
        <v>226</v>
      </c>
      <c r="D36" s="77">
        <f t="shared" si="2"/>
        <v>0</v>
      </c>
      <c r="E36" s="75"/>
      <c r="F36" s="75"/>
      <c r="G36" s="75"/>
      <c r="H36" s="75"/>
      <c r="I36" s="75"/>
      <c r="J36" s="75"/>
    </row>
    <row r="37" spans="2:10" ht="21" customHeight="1">
      <c r="B37" s="16" t="s">
        <v>32</v>
      </c>
      <c r="C37" s="6"/>
      <c r="D37" s="77">
        <f t="shared" si="2"/>
        <v>0</v>
      </c>
      <c r="E37" s="75"/>
      <c r="F37" s="75"/>
      <c r="G37" s="75"/>
      <c r="H37" s="75"/>
      <c r="I37" s="75"/>
      <c r="J37" s="75"/>
    </row>
    <row r="38" spans="2:10" ht="21" customHeight="1">
      <c r="B38" s="16" t="s">
        <v>205</v>
      </c>
      <c r="C38" s="6"/>
      <c r="D38" s="77">
        <f t="shared" si="2"/>
        <v>0</v>
      </c>
      <c r="E38" s="75"/>
      <c r="F38" s="75"/>
      <c r="G38" s="75"/>
      <c r="H38" s="75"/>
      <c r="I38" s="75"/>
      <c r="J38" s="75"/>
    </row>
    <row r="39" spans="2:10" ht="38.45" customHeight="1">
      <c r="B39" s="17" t="s">
        <v>103</v>
      </c>
      <c r="C39" s="9">
        <v>240</v>
      </c>
      <c r="D39" s="77">
        <f t="shared" si="2"/>
        <v>0</v>
      </c>
      <c r="E39" s="76">
        <f aca="true" t="shared" si="5" ref="E39:J39">E41</f>
        <v>0</v>
      </c>
      <c r="F39" s="76">
        <f t="shared" si="5"/>
        <v>0</v>
      </c>
      <c r="G39" s="76">
        <f t="shared" si="5"/>
        <v>0</v>
      </c>
      <c r="H39" s="76">
        <f t="shared" si="5"/>
        <v>0</v>
      </c>
      <c r="I39" s="76">
        <f t="shared" si="5"/>
        <v>0</v>
      </c>
      <c r="J39" s="76">
        <f t="shared" si="5"/>
        <v>0</v>
      </c>
    </row>
    <row r="40" spans="2:10" ht="12.75" customHeight="1">
      <c r="B40" s="16" t="s">
        <v>32</v>
      </c>
      <c r="C40" s="6"/>
      <c r="D40" s="77"/>
      <c r="E40" s="27"/>
      <c r="F40" s="27"/>
      <c r="G40" s="27"/>
      <c r="H40" s="27"/>
      <c r="I40" s="27"/>
      <c r="J40" s="27"/>
    </row>
    <row r="41" spans="2:10" ht="31.5" customHeight="1">
      <c r="B41" s="18" t="s">
        <v>104</v>
      </c>
      <c r="C41" s="8" t="s">
        <v>55</v>
      </c>
      <c r="D41" s="77">
        <f>E41+F41+G41+H41</f>
        <v>0</v>
      </c>
      <c r="E41" s="75"/>
      <c r="F41" s="75"/>
      <c r="G41" s="75"/>
      <c r="H41" s="75"/>
      <c r="I41" s="75"/>
      <c r="J41" s="75"/>
    </row>
    <row r="42" spans="2:10" ht="21" customHeight="1">
      <c r="B42" s="17" t="s">
        <v>56</v>
      </c>
      <c r="C42" s="10" t="s">
        <v>57</v>
      </c>
      <c r="D42" s="77">
        <f>E42+F42+G42+H42</f>
        <v>0</v>
      </c>
      <c r="E42" s="76">
        <f aca="true" t="shared" si="6" ref="E42:J42">E44+E45</f>
        <v>0</v>
      </c>
      <c r="F42" s="76">
        <f t="shared" si="6"/>
        <v>0</v>
      </c>
      <c r="G42" s="76">
        <f t="shared" si="6"/>
        <v>0</v>
      </c>
      <c r="H42" s="76">
        <f t="shared" si="6"/>
        <v>0</v>
      </c>
      <c r="I42" s="76">
        <f t="shared" si="6"/>
        <v>0</v>
      </c>
      <c r="J42" s="76">
        <f t="shared" si="6"/>
        <v>0</v>
      </c>
    </row>
    <row r="43" spans="2:10" ht="11.25" customHeight="1">
      <c r="B43" s="16" t="s">
        <v>32</v>
      </c>
      <c r="C43" s="7"/>
      <c r="D43" s="77"/>
      <c r="E43" s="27"/>
      <c r="F43" s="27"/>
      <c r="G43" s="27"/>
      <c r="H43" s="27"/>
      <c r="I43" s="27"/>
      <c r="J43" s="27"/>
    </row>
    <row r="44" spans="2:10" ht="21" customHeight="1">
      <c r="B44" s="16" t="s">
        <v>58</v>
      </c>
      <c r="C44" s="8" t="s">
        <v>59</v>
      </c>
      <c r="D44" s="77">
        <f>E44+F44+G44+H44</f>
        <v>0</v>
      </c>
      <c r="E44" s="75"/>
      <c r="F44" s="75"/>
      <c r="G44" s="75"/>
      <c r="H44" s="75"/>
      <c r="I44" s="75"/>
      <c r="J44" s="75"/>
    </row>
    <row r="45" spans="2:10" ht="35.45" customHeight="1">
      <c r="B45" s="16" t="s">
        <v>60</v>
      </c>
      <c r="C45" s="8" t="s">
        <v>61</v>
      </c>
      <c r="D45" s="77">
        <f>E45+F45+G45+H45</f>
        <v>0</v>
      </c>
      <c r="E45" s="75"/>
      <c r="F45" s="75"/>
      <c r="G45" s="75"/>
      <c r="H45" s="75"/>
      <c r="I45" s="75"/>
      <c r="J45" s="75"/>
    </row>
    <row r="46" spans="2:10" ht="21" customHeight="1">
      <c r="B46" s="17" t="s">
        <v>62</v>
      </c>
      <c r="C46" s="10" t="s">
        <v>63</v>
      </c>
      <c r="D46" s="77">
        <f>E46+F46+G46+H46</f>
        <v>0</v>
      </c>
      <c r="E46" s="79"/>
      <c r="F46" s="79"/>
      <c r="G46" s="79"/>
      <c r="H46" s="79"/>
      <c r="I46" s="79"/>
      <c r="J46" s="79"/>
    </row>
    <row r="47" spans="2:10" ht="35.45" customHeight="1">
      <c r="B47" s="17" t="s">
        <v>64</v>
      </c>
      <c r="C47" s="10" t="s">
        <v>65</v>
      </c>
      <c r="D47" s="77">
        <f>E47+F47+G47+H47</f>
        <v>0</v>
      </c>
      <c r="E47" s="76">
        <f>E49+E50+E51+E52</f>
        <v>0</v>
      </c>
      <c r="F47" s="76">
        <f aca="true" t="shared" si="7" ref="F47:J47">F49+F50+F51+F52</f>
        <v>0</v>
      </c>
      <c r="G47" s="76">
        <f t="shared" si="7"/>
        <v>0</v>
      </c>
      <c r="H47" s="76">
        <f t="shared" si="7"/>
        <v>0</v>
      </c>
      <c r="I47" s="76">
        <f t="shared" si="7"/>
        <v>0</v>
      </c>
      <c r="J47" s="76">
        <f t="shared" si="7"/>
        <v>0</v>
      </c>
    </row>
    <row r="48" spans="2:10" ht="10.5" customHeight="1">
      <c r="B48" s="16" t="s">
        <v>32</v>
      </c>
      <c r="C48" s="7"/>
      <c r="D48" s="77"/>
      <c r="E48" s="27"/>
      <c r="F48" s="27"/>
      <c r="G48" s="27"/>
      <c r="H48" s="27"/>
      <c r="I48" s="27"/>
      <c r="J48" s="27"/>
    </row>
    <row r="49" spans="2:10" ht="27.6" customHeight="1">
      <c r="B49" s="16" t="s">
        <v>66</v>
      </c>
      <c r="C49" s="8" t="s">
        <v>67</v>
      </c>
      <c r="D49" s="77">
        <f aca="true" t="shared" si="8" ref="D49:D54">E49+F49+G49+H49</f>
        <v>0</v>
      </c>
      <c r="E49" s="75"/>
      <c r="F49" s="75"/>
      <c r="G49" s="75"/>
      <c r="H49" s="75"/>
      <c r="I49" s="75"/>
      <c r="J49" s="75"/>
    </row>
    <row r="50" spans="2:10" ht="27.6" customHeight="1">
      <c r="B50" s="16" t="s">
        <v>68</v>
      </c>
      <c r="C50" s="8" t="s">
        <v>69</v>
      </c>
      <c r="D50" s="77">
        <f t="shared" si="8"/>
        <v>0</v>
      </c>
      <c r="E50" s="75"/>
      <c r="F50" s="75"/>
      <c r="G50" s="75"/>
      <c r="H50" s="75"/>
      <c r="I50" s="75"/>
      <c r="J50" s="75"/>
    </row>
    <row r="51" spans="2:10" ht="37.9" customHeight="1">
      <c r="B51" s="16" t="s">
        <v>80</v>
      </c>
      <c r="C51" s="8" t="s">
        <v>81</v>
      </c>
      <c r="D51" s="77">
        <f t="shared" si="8"/>
        <v>0</v>
      </c>
      <c r="E51" s="75"/>
      <c r="F51" s="75"/>
      <c r="G51" s="75"/>
      <c r="H51" s="75"/>
      <c r="I51" s="75"/>
      <c r="J51" s="75"/>
    </row>
    <row r="52" spans="2:10" ht="21" customHeight="1">
      <c r="B52" s="16" t="s">
        <v>70</v>
      </c>
      <c r="C52" s="8" t="s">
        <v>71</v>
      </c>
      <c r="D52" s="77">
        <f t="shared" si="8"/>
        <v>0</v>
      </c>
      <c r="E52" s="75"/>
      <c r="F52" s="75"/>
      <c r="G52" s="75"/>
      <c r="H52" s="75"/>
      <c r="I52" s="75"/>
      <c r="J52" s="75"/>
    </row>
    <row r="53" spans="2:10" ht="21" customHeight="1">
      <c r="B53" s="16" t="s">
        <v>32</v>
      </c>
      <c r="C53" s="8"/>
      <c r="D53" s="77">
        <f t="shared" si="8"/>
        <v>0</v>
      </c>
      <c r="E53" s="75"/>
      <c r="F53" s="75"/>
      <c r="G53" s="75"/>
      <c r="H53" s="75"/>
      <c r="I53" s="75"/>
      <c r="J53" s="75"/>
    </row>
    <row r="54" spans="2:10" ht="21" customHeight="1">
      <c r="B54" s="16" t="s">
        <v>206</v>
      </c>
      <c r="C54" s="8"/>
      <c r="D54" s="77">
        <f t="shared" si="8"/>
        <v>0</v>
      </c>
      <c r="E54" s="75"/>
      <c r="F54" s="75"/>
      <c r="G54" s="75"/>
      <c r="H54" s="75"/>
      <c r="I54" s="75"/>
      <c r="J54" s="75"/>
    </row>
    <row r="55" spans="2:10" ht="21" customHeight="1">
      <c r="B55" s="16" t="s">
        <v>207</v>
      </c>
      <c r="C55" s="8"/>
      <c r="D55" s="77">
        <f aca="true" t="shared" si="9" ref="D55:D57">E55+F55+G55+H55</f>
        <v>0</v>
      </c>
      <c r="E55" s="75"/>
      <c r="F55" s="75"/>
      <c r="G55" s="75"/>
      <c r="H55" s="75"/>
      <c r="I55" s="75"/>
      <c r="J55" s="75"/>
    </row>
    <row r="56" spans="2:10" ht="21" customHeight="1">
      <c r="B56" s="16" t="s">
        <v>208</v>
      </c>
      <c r="C56" s="8"/>
      <c r="D56" s="77">
        <f t="shared" si="9"/>
        <v>0</v>
      </c>
      <c r="E56" s="75"/>
      <c r="F56" s="75"/>
      <c r="G56" s="75"/>
      <c r="H56" s="75"/>
      <c r="I56" s="75"/>
      <c r="J56" s="75"/>
    </row>
    <row r="57" spans="2:10" ht="21" customHeight="1">
      <c r="B57" s="16" t="s">
        <v>209</v>
      </c>
      <c r="C57" s="8"/>
      <c r="D57" s="77">
        <f t="shared" si="9"/>
        <v>0</v>
      </c>
      <c r="E57" s="75"/>
      <c r="F57" s="75"/>
      <c r="G57" s="75"/>
      <c r="H57" s="75"/>
      <c r="I57" s="75"/>
      <c r="J57" s="75"/>
    </row>
    <row r="58" spans="2:10" ht="21" customHeight="1">
      <c r="B58" s="17" t="s">
        <v>72</v>
      </c>
      <c r="C58" s="10" t="s">
        <v>73</v>
      </c>
      <c r="D58" s="77">
        <f>E58+F58+G58+H58</f>
        <v>0</v>
      </c>
      <c r="E58" s="76">
        <f aca="true" t="shared" si="10" ref="E58:J58">E60+E61</f>
        <v>0</v>
      </c>
      <c r="F58" s="76">
        <f t="shared" si="10"/>
        <v>0</v>
      </c>
      <c r="G58" s="76">
        <f t="shared" si="10"/>
        <v>0</v>
      </c>
      <c r="H58" s="76">
        <f t="shared" si="10"/>
        <v>0</v>
      </c>
      <c r="I58" s="76">
        <f t="shared" si="10"/>
        <v>0</v>
      </c>
      <c r="J58" s="76">
        <f t="shared" si="10"/>
        <v>0</v>
      </c>
    </row>
    <row r="59" spans="2:10" ht="12" customHeight="1">
      <c r="B59" s="16" t="s">
        <v>32</v>
      </c>
      <c r="C59" s="7"/>
      <c r="D59" s="77"/>
      <c r="E59" s="27"/>
      <c r="F59" s="27"/>
      <c r="G59" s="27"/>
      <c r="H59" s="27"/>
      <c r="I59" s="27"/>
      <c r="J59" s="27"/>
    </row>
    <row r="60" spans="2:10" ht="33.6" customHeight="1">
      <c r="B60" s="16" t="s">
        <v>74</v>
      </c>
      <c r="C60" s="8" t="s">
        <v>75</v>
      </c>
      <c r="D60" s="77">
        <f>E60+F60+G60+H60</f>
        <v>0</v>
      </c>
      <c r="E60" s="75"/>
      <c r="F60" s="75"/>
      <c r="G60" s="75"/>
      <c r="H60" s="75"/>
      <c r="I60" s="75"/>
      <c r="J60" s="75"/>
    </row>
    <row r="61" spans="2:10" ht="31.15" customHeight="1">
      <c r="B61" s="16" t="s">
        <v>76</v>
      </c>
      <c r="C61" s="8" t="s">
        <v>77</v>
      </c>
      <c r="D61" s="77">
        <f>E61+F61+G61+H61</f>
        <v>0</v>
      </c>
      <c r="E61" s="75"/>
      <c r="F61" s="75"/>
      <c r="G61" s="75"/>
      <c r="H61" s="75"/>
      <c r="I61" s="75"/>
      <c r="J61" s="75"/>
    </row>
    <row r="62" spans="2:10" ht="12.75" customHeight="1">
      <c r="B62" s="16" t="s">
        <v>78</v>
      </c>
      <c r="C62" s="7"/>
      <c r="D62" s="77"/>
      <c r="E62" s="27"/>
      <c r="F62" s="27"/>
      <c r="G62" s="27"/>
      <c r="H62" s="27"/>
      <c r="I62" s="27"/>
      <c r="J62" s="27"/>
    </row>
    <row r="63" spans="2:10" ht="21" customHeight="1">
      <c r="B63" s="16" t="s">
        <v>79</v>
      </c>
      <c r="C63" s="8" t="s">
        <v>36</v>
      </c>
      <c r="D63" s="77">
        <f>E63+F63+G63+H63</f>
        <v>0</v>
      </c>
      <c r="E63" s="75"/>
      <c r="F63" s="75"/>
      <c r="G63" s="75"/>
      <c r="H63" s="75"/>
      <c r="I63" s="75"/>
      <c r="J63" s="75"/>
    </row>
  </sheetData>
  <sheetProtection password="C541" sheet="1" objects="1" scenarios="1" formatCells="0" formatColumns="0" formatRows="0"/>
  <mergeCells count="17">
    <mergeCell ref="B15:J15"/>
    <mergeCell ref="J17:J18"/>
    <mergeCell ref="B17:B18"/>
    <mergeCell ref="C17:C18"/>
    <mergeCell ref="D17:D18"/>
    <mergeCell ref="E17:H17"/>
    <mergeCell ref="I17:I18"/>
    <mergeCell ref="H1:J1"/>
    <mergeCell ref="G2:J2"/>
    <mergeCell ref="H3:J3"/>
    <mergeCell ref="B11:J11"/>
    <mergeCell ref="B13:J13"/>
    <mergeCell ref="B14:J14"/>
    <mergeCell ref="G5:J5"/>
    <mergeCell ref="G7:J7"/>
    <mergeCell ref="G8:J8"/>
    <mergeCell ref="B12:J12"/>
  </mergeCells>
  <printOptions/>
  <pageMargins left="1.1811023622047245" right="0.15748031496062992" top="0.15748031496062992" bottom="0.15748031496062992" header="0.15748031496062992" footer="0.15748031496062992"/>
  <pageSetup fitToHeight="1" fitToWidth="1" horizontalDpi="600" verticalDpi="600" orientation="portrait" paperSize="9" scale="53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A63"/>
  <sheetViews>
    <sheetView view="pageBreakPreview" zoomScale="60" workbookViewId="0" topLeftCell="A1">
      <selection activeCell="G8" sqref="G8:J8"/>
    </sheetView>
  </sheetViews>
  <sheetFormatPr defaultColWidth="9.00390625" defaultRowHeight="12.75"/>
  <cols>
    <col min="1" max="1" width="1.875" style="0" customWidth="1"/>
    <col min="2" max="2" width="54.75390625" style="0" customWidth="1"/>
    <col min="3" max="3" width="11.375" style="0" customWidth="1"/>
    <col min="4" max="4" width="16.00390625" style="0" customWidth="1"/>
    <col min="5" max="5" width="14.75390625" style="0" customWidth="1"/>
    <col min="6" max="8" width="14.00390625" style="0" customWidth="1"/>
    <col min="9" max="9" width="15.125" style="0" customWidth="1"/>
    <col min="10" max="10" width="14.625" style="0" customWidth="1"/>
  </cols>
  <sheetData>
    <row r="1" spans="5:10" ht="12.75">
      <c r="E1" s="94"/>
      <c r="F1" s="94"/>
      <c r="G1" s="37"/>
      <c r="H1" s="408"/>
      <c r="I1" s="408"/>
      <c r="J1" s="408"/>
    </row>
    <row r="2" spans="5:10" ht="12.75" customHeight="1">
      <c r="E2" s="94"/>
      <c r="F2" s="94"/>
      <c r="G2" s="415" t="str">
        <f>'Субсидия (50500)'!G2:J2</f>
        <v>к протоколу № 2 от 12.03.2015.</v>
      </c>
      <c r="H2" s="415"/>
      <c r="I2" s="415"/>
      <c r="J2" s="415"/>
    </row>
    <row r="3" spans="5:10" ht="12.75">
      <c r="E3" s="94"/>
      <c r="F3" s="94"/>
      <c r="G3" s="37"/>
      <c r="H3" s="409"/>
      <c r="I3" s="409"/>
      <c r="J3" s="409"/>
    </row>
    <row r="4" spans="5:10" ht="13.15" customHeight="1">
      <c r="E4" s="94"/>
      <c r="F4" s="94"/>
      <c r="G4" s="86"/>
      <c r="H4" s="86"/>
      <c r="I4" s="87" t="s">
        <v>8</v>
      </c>
      <c r="J4" s="86"/>
    </row>
    <row r="5" spans="5:10" ht="12.75" customHeight="1">
      <c r="E5" s="94"/>
      <c r="F5" s="94"/>
      <c r="G5" s="410" t="str">
        <f>'Касс. план (50400)'!G5:J5</f>
        <v>Директор АСУСОН ТО "Ишимский геронтологический центр"</v>
      </c>
      <c r="H5" s="410"/>
      <c r="I5" s="410"/>
      <c r="J5" s="410"/>
    </row>
    <row r="6" spans="5:10" ht="11.45" customHeight="1">
      <c r="E6" s="94"/>
      <c r="F6" s="94"/>
      <c r="G6" s="37"/>
      <c r="H6" s="88"/>
      <c r="I6" s="89" t="s">
        <v>113</v>
      </c>
      <c r="J6" s="88"/>
    </row>
    <row r="7" spans="5:10" ht="15.6" customHeight="1">
      <c r="E7" s="94"/>
      <c r="F7" s="94"/>
      <c r="G7" s="413" t="str">
        <f>'Касс. план (50400)'!G7:J7</f>
        <v>Т.И. Сиюткина</v>
      </c>
      <c r="H7" s="413"/>
      <c r="I7" s="413"/>
      <c r="J7" s="413"/>
    </row>
    <row r="8" spans="5:10" ht="10.9" customHeight="1">
      <c r="E8" s="94"/>
      <c r="F8" s="94"/>
      <c r="G8" s="414" t="s">
        <v>136</v>
      </c>
      <c r="H8" s="414"/>
      <c r="I8" s="414"/>
      <c r="J8" s="414"/>
    </row>
    <row r="9" spans="5:10" ht="12.75">
      <c r="E9" s="38"/>
      <c r="F9" s="85"/>
      <c r="G9" s="128" t="s">
        <v>173</v>
      </c>
      <c r="H9" s="92" t="s">
        <v>210</v>
      </c>
      <c r="I9" s="92"/>
      <c r="J9" s="93"/>
    </row>
    <row r="11" spans="2:10" ht="18">
      <c r="B11" s="438" t="s">
        <v>112</v>
      </c>
      <c r="C11" s="438"/>
      <c r="D11" s="438"/>
      <c r="E11" s="438"/>
      <c r="F11" s="438"/>
      <c r="G11" s="438"/>
      <c r="H11" s="438"/>
      <c r="I11" s="438"/>
      <c r="J11" s="438"/>
    </row>
    <row r="12" spans="2:10" ht="13.9" customHeight="1">
      <c r="B12" s="431" t="s">
        <v>146</v>
      </c>
      <c r="C12" s="431"/>
      <c r="D12" s="431"/>
      <c r="E12" s="431"/>
      <c r="F12" s="431"/>
      <c r="G12" s="431"/>
      <c r="H12" s="431"/>
      <c r="I12" s="431"/>
      <c r="J12" s="431"/>
    </row>
    <row r="13" spans="2:10" ht="16.5">
      <c r="B13" s="436" t="s">
        <v>111</v>
      </c>
      <c r="C13" s="436"/>
      <c r="D13" s="436"/>
      <c r="E13" s="436"/>
      <c r="F13" s="436"/>
      <c r="G13" s="436"/>
      <c r="H13" s="436"/>
      <c r="I13" s="436"/>
      <c r="J13" s="436"/>
    </row>
    <row r="14" spans="2:27" ht="12.75" customHeight="1">
      <c r="B14" s="329" t="str">
        <f>'Касс.пл.Внеб.(50300)СВОД'!B14</f>
        <v>Автономное стационарное учреждение социального обслуживания населения Тюменской области "Ишимский геронтологический центр"</v>
      </c>
      <c r="C14" s="329"/>
      <c r="D14" s="329"/>
      <c r="E14" s="329"/>
      <c r="F14" s="329"/>
      <c r="G14" s="329"/>
      <c r="H14" s="329"/>
      <c r="I14" s="329"/>
      <c r="J14" s="329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"/>
      <c r="X14" s="1"/>
      <c r="Y14" s="1"/>
      <c r="Z14" s="1"/>
      <c r="AA14" s="1"/>
    </row>
    <row r="15" spans="2:27" ht="16.5">
      <c r="B15" s="437" t="s">
        <v>4</v>
      </c>
      <c r="C15" s="437"/>
      <c r="D15" s="437"/>
      <c r="E15" s="437"/>
      <c r="F15" s="437"/>
      <c r="G15" s="437"/>
      <c r="H15" s="437"/>
      <c r="I15" s="437"/>
      <c r="J15" s="43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2.75">
      <c r="B16" s="5"/>
      <c r="C16" s="5"/>
      <c r="D16" s="5"/>
      <c r="E16" s="5"/>
      <c r="F16" s="5"/>
      <c r="G16" s="5"/>
      <c r="H16" s="5"/>
      <c r="I16" s="5"/>
      <c r="J16" s="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10" ht="12.75">
      <c r="B17" s="432" t="s">
        <v>11</v>
      </c>
      <c r="C17" s="434" t="s">
        <v>35</v>
      </c>
      <c r="D17" s="419" t="s">
        <v>203</v>
      </c>
      <c r="E17" s="428" t="s">
        <v>98</v>
      </c>
      <c r="F17" s="429"/>
      <c r="G17" s="429"/>
      <c r="H17" s="430"/>
      <c r="I17" s="419" t="s">
        <v>143</v>
      </c>
      <c r="J17" s="419" t="s">
        <v>197</v>
      </c>
    </row>
    <row r="18" spans="2:10" ht="18" customHeight="1">
      <c r="B18" s="433"/>
      <c r="C18" s="435"/>
      <c r="D18" s="420"/>
      <c r="E18" s="131" t="s">
        <v>99</v>
      </c>
      <c r="F18" s="131" t="s">
        <v>100</v>
      </c>
      <c r="G18" s="131" t="s">
        <v>101</v>
      </c>
      <c r="H18" s="131" t="s">
        <v>102</v>
      </c>
      <c r="I18" s="420"/>
      <c r="J18" s="420"/>
    </row>
    <row r="19" spans="2:10" ht="18" customHeight="1">
      <c r="B19" s="12" t="s">
        <v>97</v>
      </c>
      <c r="C19" s="15"/>
      <c r="D19" s="77">
        <f>E19+F19+G19+H19</f>
        <v>0</v>
      </c>
      <c r="E19" s="74"/>
      <c r="F19" s="74"/>
      <c r="G19" s="74"/>
      <c r="H19" s="74"/>
      <c r="I19" s="74"/>
      <c r="J19" s="74"/>
    </row>
    <row r="20" spans="2:10" ht="18" customHeight="1">
      <c r="B20" s="12" t="s">
        <v>106</v>
      </c>
      <c r="C20" s="15"/>
      <c r="D20" s="77">
        <f>E20+F20+G20+H20</f>
        <v>0</v>
      </c>
      <c r="E20" s="77">
        <f aca="true" t="shared" si="0" ref="E20:J20">E21-E19</f>
        <v>0</v>
      </c>
      <c r="F20" s="77">
        <f t="shared" si="0"/>
        <v>0</v>
      </c>
      <c r="G20" s="77">
        <f t="shared" si="0"/>
        <v>0</v>
      </c>
      <c r="H20" s="77">
        <f t="shared" si="0"/>
        <v>0</v>
      </c>
      <c r="I20" s="77">
        <f t="shared" si="0"/>
        <v>0</v>
      </c>
      <c r="J20" s="77">
        <f t="shared" si="0"/>
        <v>0</v>
      </c>
    </row>
    <row r="21" spans="2:10" ht="21" customHeight="1">
      <c r="B21" s="12" t="s">
        <v>38</v>
      </c>
      <c r="C21" s="13"/>
      <c r="D21" s="77">
        <f>E21+F21+G21+H21</f>
        <v>0</v>
      </c>
      <c r="E21" s="78">
        <f aca="true" t="shared" si="1" ref="E21:J21">E23+E27+E39+E42+E46+E47+E58</f>
        <v>0</v>
      </c>
      <c r="F21" s="78">
        <f t="shared" si="1"/>
        <v>0</v>
      </c>
      <c r="G21" s="78">
        <f t="shared" si="1"/>
        <v>0</v>
      </c>
      <c r="H21" s="78">
        <f t="shared" si="1"/>
        <v>0</v>
      </c>
      <c r="I21" s="78">
        <f t="shared" si="1"/>
        <v>0</v>
      </c>
      <c r="J21" s="78">
        <f t="shared" si="1"/>
        <v>0</v>
      </c>
    </row>
    <row r="22" spans="2:10" ht="11.25" customHeight="1">
      <c r="B22" s="12" t="s">
        <v>33</v>
      </c>
      <c r="C22" s="13"/>
      <c r="D22" s="77"/>
      <c r="E22" s="27"/>
      <c r="F22" s="27"/>
      <c r="G22" s="27"/>
      <c r="H22" s="27"/>
      <c r="I22" s="27"/>
      <c r="J22" s="27"/>
    </row>
    <row r="23" spans="2:10" ht="27.6" customHeight="1">
      <c r="B23" s="17" t="s">
        <v>105</v>
      </c>
      <c r="C23" s="20">
        <v>210</v>
      </c>
      <c r="D23" s="77">
        <f aca="true" t="shared" si="2" ref="D23:D39">E23+F23+G23+H23</f>
        <v>0</v>
      </c>
      <c r="E23" s="76">
        <f aca="true" t="shared" si="3" ref="E23:J23">E24+E25+E26</f>
        <v>0</v>
      </c>
      <c r="F23" s="76">
        <f t="shared" si="3"/>
        <v>0</v>
      </c>
      <c r="G23" s="76">
        <f t="shared" si="3"/>
        <v>0</v>
      </c>
      <c r="H23" s="76">
        <f t="shared" si="3"/>
        <v>0</v>
      </c>
      <c r="I23" s="76">
        <f t="shared" si="3"/>
        <v>0</v>
      </c>
      <c r="J23" s="76">
        <f t="shared" si="3"/>
        <v>0</v>
      </c>
    </row>
    <row r="24" spans="2:10" ht="21" customHeight="1">
      <c r="B24" s="16" t="s">
        <v>39</v>
      </c>
      <c r="C24" s="8" t="s">
        <v>40</v>
      </c>
      <c r="D24" s="77">
        <f t="shared" si="2"/>
        <v>0</v>
      </c>
      <c r="E24" s="75"/>
      <c r="F24" s="75"/>
      <c r="G24" s="75"/>
      <c r="H24" s="75"/>
      <c r="I24" s="75"/>
      <c r="J24" s="75"/>
    </row>
    <row r="25" spans="2:10" ht="21" customHeight="1">
      <c r="B25" s="16" t="s">
        <v>41</v>
      </c>
      <c r="C25" s="6">
        <v>212</v>
      </c>
      <c r="D25" s="77">
        <f t="shared" si="2"/>
        <v>0</v>
      </c>
      <c r="E25" s="75"/>
      <c r="F25" s="75"/>
      <c r="G25" s="75"/>
      <c r="H25" s="75"/>
      <c r="I25" s="75"/>
      <c r="J25" s="75"/>
    </row>
    <row r="26" spans="2:10" ht="21" customHeight="1">
      <c r="B26" s="16" t="s">
        <v>42</v>
      </c>
      <c r="C26" s="8" t="s">
        <v>43</v>
      </c>
      <c r="D26" s="77">
        <f t="shared" si="2"/>
        <v>0</v>
      </c>
      <c r="E26" s="75"/>
      <c r="F26" s="75"/>
      <c r="G26" s="75"/>
      <c r="H26" s="75"/>
      <c r="I26" s="75"/>
      <c r="J26" s="75"/>
    </row>
    <row r="27" spans="2:10" ht="21" customHeight="1">
      <c r="B27" s="17" t="s">
        <v>44</v>
      </c>
      <c r="C27" s="10" t="s">
        <v>45</v>
      </c>
      <c r="D27" s="77">
        <f t="shared" si="2"/>
        <v>0</v>
      </c>
      <c r="E27" s="76">
        <f aca="true" t="shared" si="4" ref="E27:J27">E29+E30+E31+E32+E33+E36</f>
        <v>0</v>
      </c>
      <c r="F27" s="76">
        <f t="shared" si="4"/>
        <v>0</v>
      </c>
      <c r="G27" s="76">
        <f t="shared" si="4"/>
        <v>0</v>
      </c>
      <c r="H27" s="76">
        <f t="shared" si="4"/>
        <v>0</v>
      </c>
      <c r="I27" s="76">
        <f t="shared" si="4"/>
        <v>0</v>
      </c>
      <c r="J27" s="76">
        <f t="shared" si="4"/>
        <v>0</v>
      </c>
    </row>
    <row r="28" spans="2:10" ht="11.25" customHeight="1">
      <c r="B28" s="16" t="s">
        <v>32</v>
      </c>
      <c r="C28" s="7"/>
      <c r="D28" s="77">
        <f t="shared" si="2"/>
        <v>0</v>
      </c>
      <c r="E28" s="27"/>
      <c r="F28" s="27"/>
      <c r="G28" s="27"/>
      <c r="H28" s="27"/>
      <c r="I28" s="27"/>
      <c r="J28" s="27"/>
    </row>
    <row r="29" spans="2:10" ht="21" customHeight="1">
      <c r="B29" s="16" t="s">
        <v>46</v>
      </c>
      <c r="C29" s="8" t="s">
        <v>47</v>
      </c>
      <c r="D29" s="77">
        <f t="shared" si="2"/>
        <v>0</v>
      </c>
      <c r="E29" s="75"/>
      <c r="F29" s="75"/>
      <c r="G29" s="75"/>
      <c r="H29" s="75"/>
      <c r="I29" s="75"/>
      <c r="J29" s="75"/>
    </row>
    <row r="30" spans="2:10" ht="21" customHeight="1">
      <c r="B30" s="16" t="s">
        <v>48</v>
      </c>
      <c r="C30" s="8" t="s">
        <v>49</v>
      </c>
      <c r="D30" s="77">
        <f t="shared" si="2"/>
        <v>0</v>
      </c>
      <c r="E30" s="75"/>
      <c r="F30" s="75"/>
      <c r="G30" s="75"/>
      <c r="H30" s="75"/>
      <c r="I30" s="75"/>
      <c r="J30" s="75"/>
    </row>
    <row r="31" spans="2:10" ht="21" customHeight="1">
      <c r="B31" s="16" t="s">
        <v>50</v>
      </c>
      <c r="C31" s="8" t="s">
        <v>51</v>
      </c>
      <c r="D31" s="77">
        <f t="shared" si="2"/>
        <v>0</v>
      </c>
      <c r="E31" s="75"/>
      <c r="F31" s="75"/>
      <c r="G31" s="75"/>
      <c r="H31" s="75"/>
      <c r="I31" s="75"/>
      <c r="J31" s="75"/>
    </row>
    <row r="32" spans="2:10" ht="21" customHeight="1">
      <c r="B32" s="16" t="s">
        <v>52</v>
      </c>
      <c r="C32" s="8" t="s">
        <v>53</v>
      </c>
      <c r="D32" s="77">
        <f t="shared" si="2"/>
        <v>0</v>
      </c>
      <c r="E32" s="75"/>
      <c r="F32" s="75"/>
      <c r="G32" s="75"/>
      <c r="H32" s="75"/>
      <c r="I32" s="75"/>
      <c r="J32" s="75"/>
    </row>
    <row r="33" spans="2:10" ht="21" customHeight="1">
      <c r="B33" s="16" t="s">
        <v>54</v>
      </c>
      <c r="C33" s="6">
        <v>225</v>
      </c>
      <c r="D33" s="77">
        <f t="shared" si="2"/>
        <v>0</v>
      </c>
      <c r="E33" s="75"/>
      <c r="F33" s="75"/>
      <c r="G33" s="75"/>
      <c r="H33" s="75"/>
      <c r="I33" s="75"/>
      <c r="J33" s="75"/>
    </row>
    <row r="34" spans="2:10" ht="21" customHeight="1">
      <c r="B34" s="16" t="s">
        <v>32</v>
      </c>
      <c r="C34" s="6"/>
      <c r="D34" s="77">
        <f t="shared" si="2"/>
        <v>0</v>
      </c>
      <c r="E34" s="75"/>
      <c r="F34" s="75"/>
      <c r="G34" s="75"/>
      <c r="H34" s="75"/>
      <c r="I34" s="75"/>
      <c r="J34" s="75"/>
    </row>
    <row r="35" spans="2:10" ht="21" customHeight="1">
      <c r="B35" s="16" t="s">
        <v>204</v>
      </c>
      <c r="C35" s="6"/>
      <c r="D35" s="77">
        <f t="shared" si="2"/>
        <v>0</v>
      </c>
      <c r="E35" s="75"/>
      <c r="F35" s="75"/>
      <c r="G35" s="75"/>
      <c r="H35" s="75"/>
      <c r="I35" s="75"/>
      <c r="J35" s="75"/>
    </row>
    <row r="36" spans="2:10" ht="21" customHeight="1">
      <c r="B36" s="16" t="s">
        <v>110</v>
      </c>
      <c r="C36" s="6">
        <v>226</v>
      </c>
      <c r="D36" s="77">
        <f t="shared" si="2"/>
        <v>0</v>
      </c>
      <c r="E36" s="75"/>
      <c r="F36" s="75"/>
      <c r="G36" s="75"/>
      <c r="H36" s="75"/>
      <c r="I36" s="75"/>
      <c r="J36" s="75"/>
    </row>
    <row r="37" spans="2:10" ht="21" customHeight="1">
      <c r="B37" s="16" t="s">
        <v>32</v>
      </c>
      <c r="C37" s="6"/>
      <c r="D37" s="77">
        <f t="shared" si="2"/>
        <v>0</v>
      </c>
      <c r="E37" s="75"/>
      <c r="F37" s="75"/>
      <c r="G37" s="75"/>
      <c r="H37" s="75"/>
      <c r="I37" s="75"/>
      <c r="J37" s="75"/>
    </row>
    <row r="38" spans="2:10" ht="21" customHeight="1">
      <c r="B38" s="16" t="s">
        <v>205</v>
      </c>
      <c r="C38" s="6"/>
      <c r="D38" s="77">
        <f t="shared" si="2"/>
        <v>0</v>
      </c>
      <c r="E38" s="75"/>
      <c r="F38" s="75"/>
      <c r="G38" s="75"/>
      <c r="H38" s="75"/>
      <c r="I38" s="75"/>
      <c r="J38" s="75"/>
    </row>
    <row r="39" spans="2:10" ht="38.45" customHeight="1">
      <c r="B39" s="17" t="s">
        <v>103</v>
      </c>
      <c r="C39" s="9">
        <v>240</v>
      </c>
      <c r="D39" s="77">
        <f t="shared" si="2"/>
        <v>0</v>
      </c>
      <c r="E39" s="76">
        <f aca="true" t="shared" si="5" ref="E39:J39">E41</f>
        <v>0</v>
      </c>
      <c r="F39" s="76">
        <f t="shared" si="5"/>
        <v>0</v>
      </c>
      <c r="G39" s="76">
        <f t="shared" si="5"/>
        <v>0</v>
      </c>
      <c r="H39" s="76">
        <f t="shared" si="5"/>
        <v>0</v>
      </c>
      <c r="I39" s="76">
        <f t="shared" si="5"/>
        <v>0</v>
      </c>
      <c r="J39" s="76">
        <f t="shared" si="5"/>
        <v>0</v>
      </c>
    </row>
    <row r="40" spans="2:10" ht="12.75" customHeight="1">
      <c r="B40" s="16" t="s">
        <v>32</v>
      </c>
      <c r="C40" s="6"/>
      <c r="D40" s="77"/>
      <c r="E40" s="27"/>
      <c r="F40" s="27"/>
      <c r="G40" s="27"/>
      <c r="H40" s="27"/>
      <c r="I40" s="27"/>
      <c r="J40" s="27"/>
    </row>
    <row r="41" spans="2:10" ht="31.5" customHeight="1">
      <c r="B41" s="18" t="s">
        <v>104</v>
      </c>
      <c r="C41" s="8" t="s">
        <v>55</v>
      </c>
      <c r="D41" s="77">
        <f>E41+F41+G41+H41</f>
        <v>0</v>
      </c>
      <c r="E41" s="75"/>
      <c r="F41" s="75"/>
      <c r="G41" s="75"/>
      <c r="H41" s="75"/>
      <c r="I41" s="75"/>
      <c r="J41" s="75"/>
    </row>
    <row r="42" spans="2:10" ht="21" customHeight="1">
      <c r="B42" s="17" t="s">
        <v>56</v>
      </c>
      <c r="C42" s="10" t="s">
        <v>57</v>
      </c>
      <c r="D42" s="77">
        <f>E42+F42+G42+H42</f>
        <v>0</v>
      </c>
      <c r="E42" s="76">
        <f aca="true" t="shared" si="6" ref="E42:J42">E44+E45</f>
        <v>0</v>
      </c>
      <c r="F42" s="76">
        <f t="shared" si="6"/>
        <v>0</v>
      </c>
      <c r="G42" s="76">
        <f t="shared" si="6"/>
        <v>0</v>
      </c>
      <c r="H42" s="76">
        <f t="shared" si="6"/>
        <v>0</v>
      </c>
      <c r="I42" s="76">
        <f t="shared" si="6"/>
        <v>0</v>
      </c>
      <c r="J42" s="76">
        <f t="shared" si="6"/>
        <v>0</v>
      </c>
    </row>
    <row r="43" spans="2:10" ht="11.25" customHeight="1">
      <c r="B43" s="16" t="s">
        <v>32</v>
      </c>
      <c r="C43" s="7"/>
      <c r="D43" s="77"/>
      <c r="E43" s="27"/>
      <c r="F43" s="27"/>
      <c r="G43" s="27"/>
      <c r="H43" s="27"/>
      <c r="I43" s="27"/>
      <c r="J43" s="27"/>
    </row>
    <row r="44" spans="2:10" ht="21" customHeight="1">
      <c r="B44" s="16" t="s">
        <v>58</v>
      </c>
      <c r="C44" s="8" t="s">
        <v>59</v>
      </c>
      <c r="D44" s="77">
        <f>E44+F44+G44+H44</f>
        <v>0</v>
      </c>
      <c r="E44" s="75"/>
      <c r="F44" s="75"/>
      <c r="G44" s="75"/>
      <c r="H44" s="75"/>
      <c r="I44" s="75"/>
      <c r="J44" s="75"/>
    </row>
    <row r="45" spans="2:10" ht="35.45" customHeight="1">
      <c r="B45" s="16" t="s">
        <v>60</v>
      </c>
      <c r="C45" s="8" t="s">
        <v>61</v>
      </c>
      <c r="D45" s="77">
        <f>E45+F45+G45+H45</f>
        <v>0</v>
      </c>
      <c r="E45" s="75"/>
      <c r="F45" s="75"/>
      <c r="G45" s="75"/>
      <c r="H45" s="75"/>
      <c r="I45" s="75"/>
      <c r="J45" s="75"/>
    </row>
    <row r="46" spans="2:10" ht="21" customHeight="1">
      <c r="B46" s="17" t="s">
        <v>62</v>
      </c>
      <c r="C46" s="10" t="s">
        <v>63</v>
      </c>
      <c r="D46" s="77">
        <f>E46+F46+G46+H46</f>
        <v>0</v>
      </c>
      <c r="E46" s="79"/>
      <c r="F46" s="79"/>
      <c r="G46" s="79"/>
      <c r="H46" s="79"/>
      <c r="I46" s="79"/>
      <c r="J46" s="79"/>
    </row>
    <row r="47" spans="2:10" ht="35.45" customHeight="1">
      <c r="B47" s="17" t="s">
        <v>64</v>
      </c>
      <c r="C47" s="10" t="s">
        <v>65</v>
      </c>
      <c r="D47" s="77">
        <f>E47+F47+G47+H47</f>
        <v>0</v>
      </c>
      <c r="E47" s="76">
        <f aca="true" t="shared" si="7" ref="E47:J47">E49+E50+E51+E52</f>
        <v>0</v>
      </c>
      <c r="F47" s="76">
        <f t="shared" si="7"/>
        <v>0</v>
      </c>
      <c r="G47" s="76">
        <f t="shared" si="7"/>
        <v>0</v>
      </c>
      <c r="H47" s="76">
        <f t="shared" si="7"/>
        <v>0</v>
      </c>
      <c r="I47" s="76">
        <f t="shared" si="7"/>
        <v>0</v>
      </c>
      <c r="J47" s="76">
        <f t="shared" si="7"/>
        <v>0</v>
      </c>
    </row>
    <row r="48" spans="2:10" ht="10.5" customHeight="1">
      <c r="B48" s="16" t="s">
        <v>32</v>
      </c>
      <c r="C48" s="7"/>
      <c r="D48" s="77"/>
      <c r="E48" s="27"/>
      <c r="F48" s="27"/>
      <c r="G48" s="27"/>
      <c r="H48" s="27"/>
      <c r="I48" s="27"/>
      <c r="J48" s="27"/>
    </row>
    <row r="49" spans="2:10" ht="27.6" customHeight="1">
      <c r="B49" s="16" t="s">
        <v>66</v>
      </c>
      <c r="C49" s="8" t="s">
        <v>67</v>
      </c>
      <c r="D49" s="77">
        <f>E49+F49+G49+H49</f>
        <v>0</v>
      </c>
      <c r="E49" s="75"/>
      <c r="F49" s="75"/>
      <c r="G49" s="75"/>
      <c r="H49" s="75"/>
      <c r="I49" s="75"/>
      <c r="J49" s="75"/>
    </row>
    <row r="50" spans="2:10" ht="27.6" customHeight="1">
      <c r="B50" s="16" t="s">
        <v>68</v>
      </c>
      <c r="C50" s="8" t="s">
        <v>69</v>
      </c>
      <c r="D50" s="77">
        <f>E50+F50+G50+H50</f>
        <v>0</v>
      </c>
      <c r="E50" s="75"/>
      <c r="F50" s="75"/>
      <c r="G50" s="75"/>
      <c r="H50" s="75"/>
      <c r="I50" s="75"/>
      <c r="J50" s="75"/>
    </row>
    <row r="51" spans="2:10" ht="37.9" customHeight="1">
      <c r="B51" s="16" t="s">
        <v>80</v>
      </c>
      <c r="C51" s="8" t="s">
        <v>81</v>
      </c>
      <c r="D51" s="77">
        <f>E51+F51+G51+H51</f>
        <v>0</v>
      </c>
      <c r="E51" s="75"/>
      <c r="F51" s="75"/>
      <c r="G51" s="75"/>
      <c r="H51" s="75"/>
      <c r="I51" s="75"/>
      <c r="J51" s="75"/>
    </row>
    <row r="52" spans="2:10" ht="21" customHeight="1">
      <c r="B52" s="16" t="s">
        <v>70</v>
      </c>
      <c r="C52" s="8" t="s">
        <v>71</v>
      </c>
      <c r="D52" s="77">
        <f>E52+F52+G52+H52</f>
        <v>0</v>
      </c>
      <c r="E52" s="75"/>
      <c r="F52" s="75"/>
      <c r="G52" s="75"/>
      <c r="H52" s="75"/>
      <c r="I52" s="75"/>
      <c r="J52" s="75"/>
    </row>
    <row r="53" spans="2:10" ht="21" customHeight="1">
      <c r="B53" s="16" t="s">
        <v>32</v>
      </c>
      <c r="C53" s="8"/>
      <c r="D53" s="77">
        <f aca="true" t="shared" si="8" ref="D53:D57">E53+F53+G53+H53</f>
        <v>0</v>
      </c>
      <c r="E53" s="75"/>
      <c r="F53" s="75"/>
      <c r="G53" s="75"/>
      <c r="H53" s="75"/>
      <c r="I53" s="75"/>
      <c r="J53" s="75"/>
    </row>
    <row r="54" spans="2:10" ht="21" customHeight="1">
      <c r="B54" s="16" t="s">
        <v>206</v>
      </c>
      <c r="C54" s="8"/>
      <c r="D54" s="77">
        <f t="shared" si="8"/>
        <v>0</v>
      </c>
      <c r="E54" s="75"/>
      <c r="F54" s="75"/>
      <c r="G54" s="75"/>
      <c r="H54" s="75"/>
      <c r="I54" s="75"/>
      <c r="J54" s="75"/>
    </row>
    <row r="55" spans="2:10" ht="21" customHeight="1">
      <c r="B55" s="16" t="s">
        <v>207</v>
      </c>
      <c r="C55" s="8"/>
      <c r="D55" s="77">
        <f t="shared" si="8"/>
        <v>0</v>
      </c>
      <c r="E55" s="75"/>
      <c r="F55" s="75"/>
      <c r="G55" s="75"/>
      <c r="H55" s="75"/>
      <c r="I55" s="75"/>
      <c r="J55" s="75"/>
    </row>
    <row r="56" spans="2:10" ht="21" customHeight="1">
      <c r="B56" s="16" t="s">
        <v>208</v>
      </c>
      <c r="C56" s="8"/>
      <c r="D56" s="77">
        <f t="shared" si="8"/>
        <v>0</v>
      </c>
      <c r="E56" s="75"/>
      <c r="F56" s="75"/>
      <c r="G56" s="75"/>
      <c r="H56" s="75"/>
      <c r="I56" s="75"/>
      <c r="J56" s="75"/>
    </row>
    <row r="57" spans="2:10" ht="21" customHeight="1">
      <c r="B57" s="16" t="s">
        <v>209</v>
      </c>
      <c r="C57" s="8"/>
      <c r="D57" s="77">
        <f t="shared" si="8"/>
        <v>0</v>
      </c>
      <c r="E57" s="75"/>
      <c r="F57" s="75"/>
      <c r="G57" s="75"/>
      <c r="H57" s="75"/>
      <c r="I57" s="75"/>
      <c r="J57" s="75"/>
    </row>
    <row r="58" spans="2:10" ht="21" customHeight="1">
      <c r="B58" s="17" t="s">
        <v>72</v>
      </c>
      <c r="C58" s="10" t="s">
        <v>73</v>
      </c>
      <c r="D58" s="77">
        <f>E58+F58+G58+H58</f>
        <v>0</v>
      </c>
      <c r="E58" s="76">
        <f aca="true" t="shared" si="9" ref="E58:J58">E60+E61</f>
        <v>0</v>
      </c>
      <c r="F58" s="76">
        <f t="shared" si="9"/>
        <v>0</v>
      </c>
      <c r="G58" s="76">
        <f t="shared" si="9"/>
        <v>0</v>
      </c>
      <c r="H58" s="76">
        <f t="shared" si="9"/>
        <v>0</v>
      </c>
      <c r="I58" s="76">
        <f t="shared" si="9"/>
        <v>0</v>
      </c>
      <c r="J58" s="76">
        <f t="shared" si="9"/>
        <v>0</v>
      </c>
    </row>
    <row r="59" spans="2:10" ht="12" customHeight="1">
      <c r="B59" s="16" t="s">
        <v>32</v>
      </c>
      <c r="C59" s="7"/>
      <c r="D59" s="77"/>
      <c r="E59" s="27"/>
      <c r="F59" s="27"/>
      <c r="G59" s="27"/>
      <c r="H59" s="27"/>
      <c r="I59" s="27"/>
      <c r="J59" s="27"/>
    </row>
    <row r="60" spans="2:10" ht="33.6" customHeight="1">
      <c r="B60" s="16" t="s">
        <v>74</v>
      </c>
      <c r="C60" s="8" t="s">
        <v>75</v>
      </c>
      <c r="D60" s="77">
        <f>E60+F60+G60+H60</f>
        <v>0</v>
      </c>
      <c r="E60" s="75"/>
      <c r="F60" s="75"/>
      <c r="G60" s="75"/>
      <c r="H60" s="75"/>
      <c r="I60" s="75"/>
      <c r="J60" s="75"/>
    </row>
    <row r="61" spans="2:10" ht="31.15" customHeight="1">
      <c r="B61" s="16" t="s">
        <v>76</v>
      </c>
      <c r="C61" s="8" t="s">
        <v>77</v>
      </c>
      <c r="D61" s="77">
        <f>E61+F61+G61+H61</f>
        <v>0</v>
      </c>
      <c r="E61" s="75"/>
      <c r="F61" s="75"/>
      <c r="G61" s="75"/>
      <c r="H61" s="75"/>
      <c r="I61" s="75"/>
      <c r="J61" s="75"/>
    </row>
    <row r="62" spans="2:10" ht="12.75" customHeight="1">
      <c r="B62" s="16" t="s">
        <v>78</v>
      </c>
      <c r="C62" s="7"/>
      <c r="D62" s="77"/>
      <c r="E62" s="27"/>
      <c r="F62" s="27"/>
      <c r="G62" s="27"/>
      <c r="H62" s="27"/>
      <c r="I62" s="27"/>
      <c r="J62" s="27"/>
    </row>
    <row r="63" spans="2:10" ht="21" customHeight="1">
      <c r="B63" s="16" t="s">
        <v>79</v>
      </c>
      <c r="C63" s="8" t="s">
        <v>36</v>
      </c>
      <c r="D63" s="77">
        <f>E63+F63+G63+H63</f>
        <v>0</v>
      </c>
      <c r="E63" s="75"/>
      <c r="F63" s="75"/>
      <c r="G63" s="75"/>
      <c r="H63" s="75"/>
      <c r="I63" s="75"/>
      <c r="J63" s="75"/>
    </row>
  </sheetData>
  <sheetProtection password="C541" sheet="1" objects="1" scenarios="1" formatCells="0" formatColumns="0" formatRows="0"/>
  <mergeCells count="17">
    <mergeCell ref="G8:J8"/>
    <mergeCell ref="H1:J1"/>
    <mergeCell ref="G2:J2"/>
    <mergeCell ref="H3:J3"/>
    <mergeCell ref="G5:J5"/>
    <mergeCell ref="G7:J7"/>
    <mergeCell ref="J17:J18"/>
    <mergeCell ref="B11:J11"/>
    <mergeCell ref="B12:J12"/>
    <mergeCell ref="B13:J13"/>
    <mergeCell ref="B14:J14"/>
    <mergeCell ref="B15:J15"/>
    <mergeCell ref="B17:B18"/>
    <mergeCell ref="C17:C18"/>
    <mergeCell ref="D17:D18"/>
    <mergeCell ref="E17:H17"/>
    <mergeCell ref="I17:I18"/>
  </mergeCells>
  <printOptions/>
  <pageMargins left="1.1811023622047245" right="0.15748031496062992" top="0.15748031496062992" bottom="0.15748031496062992" header="0.15748031496062992" footer="0.15748031496062992"/>
  <pageSetup fitToHeight="1" fitToWidth="1" horizontalDpi="600" verticalDpi="600" orientation="portrait" paperSize="9" scale="53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4:O32"/>
  <sheetViews>
    <sheetView tabSelected="1" view="pageBreakPreview" zoomScale="60" workbookViewId="0" topLeftCell="A1">
      <selection activeCell="N17" sqref="N17"/>
    </sheetView>
  </sheetViews>
  <sheetFormatPr defaultColWidth="9.125" defaultRowHeight="12.75"/>
  <cols>
    <col min="1" max="11" width="9.125" style="39" customWidth="1"/>
    <col min="12" max="12" width="6.125" style="39" customWidth="1"/>
    <col min="13" max="13" width="7.75390625" style="39" customWidth="1"/>
    <col min="14" max="14" width="15.125" style="39" customWidth="1"/>
    <col min="15" max="15" width="23.00390625" style="39" customWidth="1"/>
    <col min="16" max="16384" width="9.125" style="39" customWidth="1"/>
  </cols>
  <sheetData>
    <row r="4" spans="1:14" ht="15" customHeight="1">
      <c r="A4" s="466" t="s">
        <v>10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</row>
    <row r="6" spans="1:14" ht="12.75" customHeight="1">
      <c r="A6" s="425" t="s">
        <v>11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7"/>
      <c r="N6" s="80" t="s">
        <v>114</v>
      </c>
    </row>
    <row r="7" spans="1:14" ht="12.75">
      <c r="A7" s="462"/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4"/>
      <c r="N7" s="80"/>
    </row>
    <row r="8" spans="1:14" ht="12.75" customHeight="1">
      <c r="A8" s="462" t="s">
        <v>12</v>
      </c>
      <c r="B8" s="463"/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4"/>
      <c r="N8" s="72">
        <f>'Касс. план (50400)'!D19+'Касс.пл.Внеб.(50300)СВОД'!D19</f>
        <v>471312.95000000007</v>
      </c>
    </row>
    <row r="9" spans="1:14" s="81" customFormat="1" ht="33" customHeight="1">
      <c r="A9" s="458" t="s">
        <v>13</v>
      </c>
      <c r="B9" s="459"/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60"/>
      <c r="N9" s="72">
        <f>N10+N11+N12</f>
        <v>39762000</v>
      </c>
    </row>
    <row r="10" spans="1:14" s="81" customFormat="1" ht="12.75" customHeight="1">
      <c r="A10" s="455" t="s">
        <v>14</v>
      </c>
      <c r="B10" s="456"/>
      <c r="C10" s="456"/>
      <c r="D10" s="456"/>
      <c r="E10" s="456"/>
      <c r="F10" s="456"/>
      <c r="G10" s="456"/>
      <c r="H10" s="456"/>
      <c r="I10" s="456"/>
      <c r="J10" s="456"/>
      <c r="K10" s="456"/>
      <c r="L10" s="456"/>
      <c r="M10" s="457"/>
      <c r="N10" s="72">
        <f>'Приложение 2'!E14</f>
        <v>25040000</v>
      </c>
    </row>
    <row r="11" spans="1:14" s="81" customFormat="1" ht="12.75" customHeight="1">
      <c r="A11" s="455" t="s">
        <v>15</v>
      </c>
      <c r="B11" s="456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7"/>
      <c r="N11" s="73">
        <v>14722000</v>
      </c>
    </row>
    <row r="12" spans="1:14" s="81" customFormat="1" ht="12.75" customHeight="1">
      <c r="A12" s="455" t="s">
        <v>16</v>
      </c>
      <c r="B12" s="456"/>
      <c r="C12" s="456"/>
      <c r="D12" s="456"/>
      <c r="E12" s="456"/>
      <c r="F12" s="456"/>
      <c r="G12" s="456"/>
      <c r="H12" s="456"/>
      <c r="I12" s="456"/>
      <c r="J12" s="456"/>
      <c r="K12" s="456"/>
      <c r="L12" s="456"/>
      <c r="M12" s="457"/>
      <c r="N12" s="73"/>
    </row>
    <row r="13" spans="1:15" s="81" customFormat="1" ht="25.9" customHeight="1">
      <c r="A13" s="458" t="s">
        <v>17</v>
      </c>
      <c r="B13" s="459"/>
      <c r="C13" s="459"/>
      <c r="D13" s="459"/>
      <c r="E13" s="459"/>
      <c r="F13" s="459"/>
      <c r="G13" s="459"/>
      <c r="H13" s="459"/>
      <c r="I13" s="459"/>
      <c r="J13" s="459"/>
      <c r="K13" s="459"/>
      <c r="L13" s="459"/>
      <c r="M13" s="460"/>
      <c r="N13" s="72">
        <f>SUM(N14:N21)</f>
        <v>40233312.95</v>
      </c>
      <c r="O13" s="82"/>
    </row>
    <row r="14" spans="1:14" ht="12.75" customHeight="1">
      <c r="A14" s="452" t="s">
        <v>18</v>
      </c>
      <c r="B14" s="453"/>
      <c r="C14" s="453"/>
      <c r="D14" s="453"/>
      <c r="E14" s="453"/>
      <c r="F14" s="453"/>
      <c r="G14" s="453"/>
      <c r="H14" s="453"/>
      <c r="I14" s="453"/>
      <c r="J14" s="453"/>
      <c r="K14" s="453"/>
      <c r="L14" s="453"/>
      <c r="M14" s="454"/>
      <c r="N14" s="72">
        <f>'Приложение 2'!E35+'Приложение 2'!E37</f>
        <v>26025629.67</v>
      </c>
    </row>
    <row r="15" spans="1:14" ht="12.75" customHeight="1">
      <c r="A15" s="452" t="s">
        <v>19</v>
      </c>
      <c r="B15" s="453"/>
      <c r="C15" s="453"/>
      <c r="D15" s="453"/>
      <c r="E15" s="453"/>
      <c r="F15" s="453"/>
      <c r="G15" s="453"/>
      <c r="H15" s="453"/>
      <c r="I15" s="453"/>
      <c r="J15" s="453"/>
      <c r="K15" s="453"/>
      <c r="L15" s="453"/>
      <c r="M15" s="454"/>
      <c r="N15" s="72">
        <f>'Показатели  по поступлениям'!D23</f>
        <v>112000</v>
      </c>
    </row>
    <row r="16" spans="1:14" ht="13.15" customHeight="1">
      <c r="A16" s="452" t="s">
        <v>118</v>
      </c>
      <c r="B16" s="453"/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4"/>
      <c r="N16" s="72">
        <f>'Показатели  по поступлениям'!D24</f>
        <v>10000</v>
      </c>
    </row>
    <row r="17" spans="1:14" ht="12.75" customHeight="1">
      <c r="A17" s="452" t="s">
        <v>20</v>
      </c>
      <c r="B17" s="453"/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M17" s="454"/>
      <c r="N17" s="72">
        <f>'Показатели  по поступлениям'!D25</f>
        <v>2424000</v>
      </c>
    </row>
    <row r="18" spans="1:14" ht="12.75" customHeight="1">
      <c r="A18" s="452" t="s">
        <v>21</v>
      </c>
      <c r="B18" s="453"/>
      <c r="C18" s="453"/>
      <c r="D18" s="453"/>
      <c r="E18" s="453"/>
      <c r="F18" s="453"/>
      <c r="G18" s="453"/>
      <c r="H18" s="453"/>
      <c r="I18" s="453"/>
      <c r="J18" s="453"/>
      <c r="K18" s="453"/>
      <c r="L18" s="453"/>
      <c r="M18" s="454"/>
      <c r="N18" s="73"/>
    </row>
    <row r="19" spans="1:14" ht="12.75" customHeight="1">
      <c r="A19" s="452" t="s">
        <v>22</v>
      </c>
      <c r="B19" s="453"/>
      <c r="C19" s="453"/>
      <c r="D19" s="453"/>
      <c r="E19" s="453"/>
      <c r="F19" s="453"/>
      <c r="G19" s="453"/>
      <c r="H19" s="453"/>
      <c r="I19" s="453"/>
      <c r="J19" s="453"/>
      <c r="K19" s="453"/>
      <c r="L19" s="453"/>
      <c r="M19" s="454"/>
      <c r="N19" s="72">
        <f>'Показатели  по поступлениям'!D27</f>
        <v>2082017</v>
      </c>
    </row>
    <row r="20" spans="1:14" ht="12.75" customHeight="1">
      <c r="A20" s="452" t="s">
        <v>23</v>
      </c>
      <c r="B20" s="453"/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4"/>
      <c r="N20" s="73"/>
    </row>
    <row r="21" spans="1:14" ht="12.75" customHeight="1">
      <c r="A21" s="452" t="s">
        <v>24</v>
      </c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4"/>
      <c r="N21" s="72">
        <f>(N8+N9)-N14-N15-N16-N17-N18-N19-N20</f>
        <v>9579666.280000001</v>
      </c>
    </row>
    <row r="22" spans="1:14" ht="13.15" customHeight="1">
      <c r="A22" s="462" t="s">
        <v>25</v>
      </c>
      <c r="B22" s="463"/>
      <c r="C22" s="463"/>
      <c r="D22" s="463"/>
      <c r="E22" s="463"/>
      <c r="F22" s="463"/>
      <c r="G22" s="463"/>
      <c r="H22" s="463"/>
      <c r="I22" s="463"/>
      <c r="J22" s="463"/>
      <c r="K22" s="463"/>
      <c r="L22" s="463"/>
      <c r="M22" s="464"/>
      <c r="N22" s="73"/>
    </row>
    <row r="23" ht="12.75">
      <c r="O23" s="83"/>
    </row>
    <row r="25" spans="1:13" ht="12.75" customHeight="1">
      <c r="A25" s="465" t="s">
        <v>5</v>
      </c>
      <c r="B25" s="465"/>
      <c r="C25" s="465"/>
      <c r="D25" s="461"/>
      <c r="E25" s="461"/>
      <c r="F25" s="461"/>
      <c r="G25" s="461"/>
      <c r="H25" s="461"/>
      <c r="I25" s="37"/>
      <c r="J25" s="461" t="s">
        <v>227</v>
      </c>
      <c r="K25" s="461"/>
      <c r="L25" s="461"/>
      <c r="M25" s="461"/>
    </row>
    <row r="26" spans="1:13" ht="14.25" customHeight="1">
      <c r="A26" s="37"/>
      <c r="B26" s="37"/>
      <c r="C26" s="37"/>
      <c r="D26" s="467" t="s">
        <v>0</v>
      </c>
      <c r="E26" s="467"/>
      <c r="F26" s="467"/>
      <c r="G26" s="467"/>
      <c r="H26" s="467"/>
      <c r="I26" s="37"/>
      <c r="J26" s="467" t="s">
        <v>1</v>
      </c>
      <c r="K26" s="467"/>
      <c r="L26" s="467"/>
      <c r="M26" s="467"/>
    </row>
    <row r="27" spans="1:13" ht="12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1:13" ht="12.75" customHeight="1">
      <c r="A28" s="465" t="s">
        <v>6</v>
      </c>
      <c r="B28" s="465"/>
      <c r="C28" s="465"/>
      <c r="D28" s="461"/>
      <c r="E28" s="461"/>
      <c r="F28" s="461"/>
      <c r="G28" s="461"/>
      <c r="H28" s="461"/>
      <c r="I28" s="37"/>
      <c r="J28" s="461" t="s">
        <v>228</v>
      </c>
      <c r="K28" s="461"/>
      <c r="L28" s="461"/>
      <c r="M28" s="461"/>
    </row>
    <row r="29" spans="1:13" ht="14.25" customHeight="1">
      <c r="A29" s="37"/>
      <c r="B29" s="37"/>
      <c r="C29" s="37"/>
      <c r="D29" s="467" t="s">
        <v>0</v>
      </c>
      <c r="E29" s="467"/>
      <c r="F29" s="467"/>
      <c r="G29" s="467"/>
      <c r="H29" s="467"/>
      <c r="I29" s="37"/>
      <c r="J29" s="467" t="s">
        <v>1</v>
      </c>
      <c r="K29" s="467"/>
      <c r="L29" s="467"/>
      <c r="M29" s="467"/>
    </row>
    <row r="30" spans="1:13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3" ht="12.75" customHeight="1">
      <c r="A31" s="465" t="s">
        <v>7</v>
      </c>
      <c r="B31" s="465"/>
      <c r="C31" s="465"/>
      <c r="D31" s="461"/>
      <c r="E31" s="461"/>
      <c r="F31" s="461"/>
      <c r="G31" s="461"/>
      <c r="H31" s="461"/>
      <c r="I31" s="37"/>
      <c r="J31" s="461"/>
      <c r="K31" s="461"/>
      <c r="L31" s="461"/>
      <c r="M31" s="461"/>
    </row>
    <row r="32" spans="1:13" ht="14.25" customHeight="1">
      <c r="A32" s="37"/>
      <c r="B32" s="37"/>
      <c r="C32" s="37"/>
      <c r="D32" s="467" t="s">
        <v>0</v>
      </c>
      <c r="E32" s="467"/>
      <c r="F32" s="467"/>
      <c r="G32" s="467"/>
      <c r="H32" s="467"/>
      <c r="I32" s="37"/>
      <c r="J32" s="467" t="s">
        <v>1</v>
      </c>
      <c r="K32" s="467"/>
      <c r="L32" s="467"/>
      <c r="M32" s="467"/>
    </row>
  </sheetData>
  <sheetProtection password="C541" sheet="1" objects="1" scenarios="1"/>
  <mergeCells count="33">
    <mergeCell ref="A18:M18"/>
    <mergeCell ref="A17:M17"/>
    <mergeCell ref="D31:H31"/>
    <mergeCell ref="J31:M31"/>
    <mergeCell ref="D32:H32"/>
    <mergeCell ref="J32:M32"/>
    <mergeCell ref="D29:H29"/>
    <mergeCell ref="J29:M29"/>
    <mergeCell ref="D26:H26"/>
    <mergeCell ref="J26:M26"/>
    <mergeCell ref="A19:M19"/>
    <mergeCell ref="A31:C31"/>
    <mergeCell ref="A20:M20"/>
    <mergeCell ref="A21:M21"/>
    <mergeCell ref="A25:C25"/>
    <mergeCell ref="D25:H25"/>
    <mergeCell ref="A4:N4"/>
    <mergeCell ref="A6:M6"/>
    <mergeCell ref="A7:M7"/>
    <mergeCell ref="A8:M8"/>
    <mergeCell ref="A9:M9"/>
    <mergeCell ref="J25:M25"/>
    <mergeCell ref="A22:M22"/>
    <mergeCell ref="A28:C28"/>
    <mergeCell ref="D28:H28"/>
    <mergeCell ref="J28:M28"/>
    <mergeCell ref="A14:M14"/>
    <mergeCell ref="A16:M16"/>
    <mergeCell ref="A15:M15"/>
    <mergeCell ref="A12:M12"/>
    <mergeCell ref="A10:M10"/>
    <mergeCell ref="A11:M11"/>
    <mergeCell ref="A13:M13"/>
  </mergeCells>
  <printOptions horizontalCentered="1"/>
  <pageMargins left="1.1811023622047245" right="0.1968503937007874" top="1.1811023622047245" bottom="0.1968503937007874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4:N25"/>
  <sheetViews>
    <sheetView view="pageBreakPreview" zoomScale="60" workbookViewId="0" topLeftCell="A1">
      <selection activeCell="M19" sqref="M19:N19"/>
    </sheetView>
  </sheetViews>
  <sheetFormatPr defaultColWidth="8.875" defaultRowHeight="12.75"/>
  <cols>
    <col min="1" max="1" width="8.875" style="19" customWidth="1"/>
    <col min="2" max="12" width="16.375" style="19" customWidth="1"/>
    <col min="13" max="14" width="13.00390625" style="19" customWidth="1"/>
    <col min="15" max="16384" width="8.875" style="19" customWidth="1"/>
  </cols>
  <sheetData>
    <row r="4" spans="2:14" ht="18">
      <c r="B4" s="354" t="s">
        <v>31</v>
      </c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</row>
    <row r="5" spans="2:14" ht="18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2:14" s="5" customFormat="1" ht="24.75" customHeight="1">
      <c r="B6" s="355" t="str">
        <f>'Заголовочный раздел'!B19:V19</f>
        <v>Автономное стационарное учреждение социального обслуживания населения Тюменской области "Ишимский геронтологический центр"</v>
      </c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</row>
    <row r="7" spans="2:14" s="5" customFormat="1" ht="12.75">
      <c r="B7" s="356" t="s">
        <v>119</v>
      </c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</row>
    <row r="9" spans="2:14" ht="24.6" customHeight="1">
      <c r="B9" s="353" t="s">
        <v>9</v>
      </c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 t="s">
        <v>109</v>
      </c>
      <c r="N9" s="353"/>
    </row>
    <row r="10" spans="2:14" ht="12.75"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3"/>
      <c r="N10" s="353"/>
    </row>
    <row r="11" spans="2:14" ht="28.9" customHeight="1">
      <c r="B11" s="350" t="s">
        <v>86</v>
      </c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1">
        <v>35798112</v>
      </c>
      <c r="N11" s="351"/>
    </row>
    <row r="12" spans="2:14" ht="28.9" customHeight="1">
      <c r="B12" s="350" t="s">
        <v>32</v>
      </c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3"/>
      <c r="N12" s="353"/>
    </row>
    <row r="13" spans="2:14" ht="28.9" customHeight="1">
      <c r="B13" s="352" t="s">
        <v>87</v>
      </c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1">
        <v>11424284</v>
      </c>
      <c r="N13" s="351"/>
    </row>
    <row r="14" spans="2:14" ht="28.9" customHeight="1">
      <c r="B14" s="352" t="s">
        <v>33</v>
      </c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1"/>
      <c r="N14" s="351"/>
    </row>
    <row r="15" spans="2:14" ht="28.9" customHeight="1">
      <c r="B15" s="350" t="s">
        <v>88</v>
      </c>
      <c r="C15" s="350"/>
      <c r="D15" s="350"/>
      <c r="E15" s="350"/>
      <c r="F15" s="350"/>
      <c r="G15" s="350"/>
      <c r="H15" s="350"/>
      <c r="I15" s="350"/>
      <c r="J15" s="350"/>
      <c r="K15" s="350"/>
      <c r="L15" s="350"/>
      <c r="M15" s="351">
        <v>4906824</v>
      </c>
      <c r="N15" s="351"/>
    </row>
    <row r="16" spans="2:14" ht="28.9" customHeight="1">
      <c r="B16" s="352" t="s">
        <v>108</v>
      </c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1">
        <v>18667446.59</v>
      </c>
      <c r="N16" s="351"/>
    </row>
    <row r="17" spans="2:14" ht="28.9" customHeight="1">
      <c r="B17" s="352" t="s">
        <v>33</v>
      </c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1"/>
      <c r="N17" s="351"/>
    </row>
    <row r="18" spans="2:14" ht="28.9" customHeight="1">
      <c r="B18" s="357" t="s">
        <v>88</v>
      </c>
      <c r="C18" s="357"/>
      <c r="D18" s="357"/>
      <c r="E18" s="357"/>
      <c r="F18" s="357"/>
      <c r="G18" s="357"/>
      <c r="H18" s="357"/>
      <c r="I18" s="357"/>
      <c r="J18" s="357"/>
      <c r="K18" s="357"/>
      <c r="L18" s="357"/>
      <c r="M18" s="351">
        <v>12532806</v>
      </c>
      <c r="N18" s="351"/>
    </row>
    <row r="19" spans="2:14" ht="28.9" customHeight="1">
      <c r="B19" s="352" t="s">
        <v>89</v>
      </c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1"/>
      <c r="N19" s="351"/>
    </row>
    <row r="20" spans="2:14" ht="28.9" customHeight="1">
      <c r="B20" s="350" t="s">
        <v>32</v>
      </c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1"/>
      <c r="N20" s="351"/>
    </row>
    <row r="21" spans="2:14" ht="28.9" customHeight="1">
      <c r="B21" s="352" t="s">
        <v>90</v>
      </c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1">
        <v>129125.05</v>
      </c>
      <c r="N21" s="351"/>
    </row>
    <row r="22" spans="2:14" ht="28.9" customHeight="1">
      <c r="B22" s="352" t="s">
        <v>91</v>
      </c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1">
        <v>164009.02</v>
      </c>
      <c r="N22" s="351"/>
    </row>
    <row r="23" spans="2:14" ht="28.9" customHeight="1">
      <c r="B23" s="352" t="s">
        <v>92</v>
      </c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1"/>
      <c r="N23" s="351"/>
    </row>
    <row r="24" spans="2:14" ht="28.9" customHeight="1">
      <c r="B24" s="350" t="s">
        <v>32</v>
      </c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1"/>
      <c r="N24" s="351"/>
    </row>
    <row r="25" spans="2:14" ht="28.9" customHeight="1">
      <c r="B25" s="352" t="s">
        <v>93</v>
      </c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1"/>
      <c r="N25" s="351"/>
    </row>
  </sheetData>
  <mergeCells count="37">
    <mergeCell ref="B25:L25"/>
    <mergeCell ref="M25:N25"/>
    <mergeCell ref="B24:L24"/>
    <mergeCell ref="B23:L23"/>
    <mergeCell ref="B22:L22"/>
    <mergeCell ref="M24:N24"/>
    <mergeCell ref="B20:L20"/>
    <mergeCell ref="B21:L21"/>
    <mergeCell ref="M23:N23"/>
    <mergeCell ref="M21:N21"/>
    <mergeCell ref="M22:N22"/>
    <mergeCell ref="M20:N20"/>
    <mergeCell ref="M15:N15"/>
    <mergeCell ref="M16:N16"/>
    <mergeCell ref="B15:L15"/>
    <mergeCell ref="B16:L16"/>
    <mergeCell ref="B19:L19"/>
    <mergeCell ref="M19:N19"/>
    <mergeCell ref="M17:N17"/>
    <mergeCell ref="B18:L18"/>
    <mergeCell ref="M18:N18"/>
    <mergeCell ref="B17:L17"/>
    <mergeCell ref="B4:N4"/>
    <mergeCell ref="B9:L9"/>
    <mergeCell ref="M9:N9"/>
    <mergeCell ref="B10:L10"/>
    <mergeCell ref="M10:N10"/>
    <mergeCell ref="B6:N6"/>
    <mergeCell ref="B7:N7"/>
    <mergeCell ref="B11:L11"/>
    <mergeCell ref="M14:N14"/>
    <mergeCell ref="B14:L14"/>
    <mergeCell ref="M11:N11"/>
    <mergeCell ref="B12:L12"/>
    <mergeCell ref="M12:N12"/>
    <mergeCell ref="B13:L13"/>
    <mergeCell ref="M13:N13"/>
  </mergeCells>
  <printOptions/>
  <pageMargins left="0.3937007874015748" right="0.3937007874015748" top="1.1811023622047245" bottom="0.3937007874015748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J48"/>
  <sheetViews>
    <sheetView view="pageBreakPreview" zoomScale="60" workbookViewId="0" topLeftCell="C37">
      <selection activeCell="G14" sqref="G14"/>
    </sheetView>
  </sheetViews>
  <sheetFormatPr defaultColWidth="8.875" defaultRowHeight="12.75"/>
  <cols>
    <col min="1" max="1" width="3.625" style="5" customWidth="1"/>
    <col min="2" max="2" width="44.25390625" style="5" customWidth="1"/>
    <col min="3" max="3" width="8.625" style="21" customWidth="1"/>
    <col min="4" max="4" width="16.75390625" style="5" customWidth="1"/>
    <col min="5" max="5" width="30.25390625" style="5" customWidth="1"/>
    <col min="6" max="6" width="28.00390625" style="5" customWidth="1"/>
    <col min="7" max="8" width="16.75390625" style="5" customWidth="1"/>
    <col min="9" max="16384" width="8.875" style="5" customWidth="1"/>
  </cols>
  <sheetData>
    <row r="1" spans="2:8" ht="15.6" customHeight="1">
      <c r="B1" s="358" t="s">
        <v>34</v>
      </c>
      <c r="C1" s="348"/>
      <c r="D1" s="348"/>
      <c r="E1" s="348"/>
      <c r="F1" s="348"/>
      <c r="G1" s="348"/>
      <c r="H1" s="348"/>
    </row>
    <row r="2" spans="2:8" ht="15.6" customHeight="1">
      <c r="B2" s="33"/>
      <c r="C2" s="31"/>
      <c r="D2" s="31"/>
      <c r="E2" s="31"/>
      <c r="F2" s="31"/>
      <c r="G2" s="31"/>
      <c r="H2" s="31"/>
    </row>
    <row r="3" spans="2:10" ht="35.25" customHeight="1">
      <c r="B3" s="355" t="str">
        <f>'Заголовочный раздел'!B19:V19</f>
        <v>Автономное стационарное учреждение социального обслуживания населения Тюменской области "Ишимский геронтологический центр"</v>
      </c>
      <c r="C3" s="355"/>
      <c r="D3" s="355"/>
      <c r="E3" s="355"/>
      <c r="F3" s="355"/>
      <c r="G3" s="355"/>
      <c r="H3" s="355"/>
      <c r="I3" s="34"/>
      <c r="J3" s="34"/>
    </row>
    <row r="4" spans="2:10" ht="12.75">
      <c r="B4" s="356" t="s">
        <v>119</v>
      </c>
      <c r="C4" s="356"/>
      <c r="D4" s="356"/>
      <c r="E4" s="356"/>
      <c r="F4" s="356"/>
      <c r="G4" s="356"/>
      <c r="H4" s="356"/>
      <c r="I4" s="36"/>
      <c r="J4" s="36"/>
    </row>
    <row r="5" spans="2:10" ht="12.75">
      <c r="B5" s="35"/>
      <c r="C5" s="35"/>
      <c r="D5" s="35"/>
      <c r="E5" s="35"/>
      <c r="F5" s="35"/>
      <c r="G5" s="35"/>
      <c r="H5" s="35"/>
      <c r="I5" s="36"/>
      <c r="J5" s="36"/>
    </row>
    <row r="6" spans="2:8" s="23" customFormat="1" ht="16.15" customHeight="1">
      <c r="B6" s="362" t="s">
        <v>11</v>
      </c>
      <c r="C6" s="353" t="s">
        <v>35</v>
      </c>
      <c r="D6" s="359" t="s">
        <v>196</v>
      </c>
      <c r="E6" s="360" t="s">
        <v>94</v>
      </c>
      <c r="F6" s="353"/>
      <c r="G6" s="361" t="s">
        <v>143</v>
      </c>
      <c r="H6" s="361" t="s">
        <v>197</v>
      </c>
    </row>
    <row r="7" spans="2:8" s="23" customFormat="1" ht="78" customHeight="1">
      <c r="B7" s="353"/>
      <c r="C7" s="353"/>
      <c r="D7" s="359"/>
      <c r="E7" s="24" t="s">
        <v>95</v>
      </c>
      <c r="F7" s="29" t="s">
        <v>96</v>
      </c>
      <c r="G7" s="359"/>
      <c r="H7" s="359"/>
    </row>
    <row r="8" spans="2:8" s="23" customFormat="1" ht="15">
      <c r="B8" s="28" t="s">
        <v>97</v>
      </c>
      <c r="C8" s="22"/>
      <c r="D8" s="99">
        <f>'Касс. план (50400)'!D19+'Касс.пл.Внеб.(50300)СВОД'!D19+'Субсидия (50500)'!D19</f>
        <v>471312.95000000007</v>
      </c>
      <c r="E8" s="100">
        <f aca="true" t="shared" si="0" ref="E8:E14">D8</f>
        <v>471312.95000000007</v>
      </c>
      <c r="F8" s="100"/>
      <c r="G8" s="101"/>
      <c r="H8" s="101"/>
    </row>
    <row r="9" spans="2:8" s="23" customFormat="1" ht="15">
      <c r="B9" s="28" t="s">
        <v>37</v>
      </c>
      <c r="C9" s="22"/>
      <c r="D9" s="99">
        <f>'Касс. план (50400)'!D20+'Касс.пл.Внеб.(50300)СВОД'!D20+'Субсидия (50500)'!D20</f>
        <v>39762000</v>
      </c>
      <c r="E9" s="100">
        <f t="shared" si="0"/>
        <v>39762000</v>
      </c>
      <c r="F9" s="100"/>
      <c r="G9" s="101">
        <f>G11+G12+G13+G14</f>
        <v>46046000</v>
      </c>
      <c r="H9" s="101">
        <f>H11+H12+H13+H14</f>
        <v>51963000</v>
      </c>
    </row>
    <row r="10" spans="2:8" s="23" customFormat="1" ht="15">
      <c r="B10" s="28" t="s">
        <v>33</v>
      </c>
      <c r="C10" s="22"/>
      <c r="D10" s="99">
        <f>'Касс. план (50400)'!D21+'Касс.пл.Внеб.(50300)СВОД'!D21</f>
        <v>0</v>
      </c>
      <c r="E10" s="100">
        <f t="shared" si="0"/>
        <v>0</v>
      </c>
      <c r="F10" s="100"/>
      <c r="G10" s="101">
        <f>'Касс. план Обл. бюдж.'!I21+'Касс.пл. ХМАО'!I21+'Касс.пл.Внеб.(50300)СВОД'!I21</f>
        <v>0</v>
      </c>
      <c r="H10" s="101">
        <f>'Касс. план Обл. бюдж.'!J21+'Касс.пл. ХМАО'!J21+'Касс.пл.Внеб.(50300)СВОД'!J21</f>
        <v>0</v>
      </c>
    </row>
    <row r="11" spans="2:8" s="23" customFormat="1" ht="15">
      <c r="B11" s="28" t="s">
        <v>117</v>
      </c>
      <c r="C11" s="22"/>
      <c r="D11" s="99">
        <f>'Касс. план Обл. бюдж.'!D20</f>
        <v>25040000</v>
      </c>
      <c r="E11" s="100">
        <f t="shared" si="0"/>
        <v>25040000</v>
      </c>
      <c r="F11" s="100"/>
      <c r="G11" s="101">
        <f>'Касс. план Обл. бюдж.'!I20</f>
        <v>32993000</v>
      </c>
      <c r="H11" s="101">
        <f>'Касс. план Обл. бюдж.'!J20</f>
        <v>38910000</v>
      </c>
    </row>
    <row r="12" spans="2:8" s="23" customFormat="1" ht="75">
      <c r="B12" s="98" t="s">
        <v>138</v>
      </c>
      <c r="C12" s="22"/>
      <c r="D12" s="99">
        <f>'Касс.пл. ХМАО'!D20</f>
        <v>0</v>
      </c>
      <c r="E12" s="100">
        <f t="shared" si="0"/>
        <v>0</v>
      </c>
      <c r="F12" s="100"/>
      <c r="G12" s="101">
        <f>'Касс.пл. ХМАО'!I20</f>
        <v>0</v>
      </c>
      <c r="H12" s="101">
        <f>'Касс.пл. ХМАО'!J20</f>
        <v>0</v>
      </c>
    </row>
    <row r="13" spans="2:8" s="23" customFormat="1" ht="15">
      <c r="B13" s="28" t="s">
        <v>126</v>
      </c>
      <c r="C13" s="22"/>
      <c r="D13" s="99">
        <f>'Субсидия (50500)'!D20</f>
        <v>0</v>
      </c>
      <c r="E13" s="100">
        <f t="shared" si="0"/>
        <v>0</v>
      </c>
      <c r="F13" s="100"/>
      <c r="G13" s="101">
        <f>'Субсидия (50500)'!I20</f>
        <v>0</v>
      </c>
      <c r="H13" s="101">
        <f>'Субсидия (50500)'!J20</f>
        <v>0</v>
      </c>
    </row>
    <row r="14" spans="2:8" s="23" customFormat="1" ht="30">
      <c r="B14" s="28" t="s">
        <v>128</v>
      </c>
      <c r="C14" s="22"/>
      <c r="D14" s="99">
        <f>'Касс.пл.Внеб.(50300)СВОД'!D20</f>
        <v>14722000</v>
      </c>
      <c r="E14" s="100">
        <f t="shared" si="0"/>
        <v>14722000</v>
      </c>
      <c r="F14" s="100"/>
      <c r="G14" s="127">
        <f>'Касс.пл.Внеб.(50300)СВОД'!I20</f>
        <v>13053000</v>
      </c>
      <c r="H14" s="127">
        <f>'Касс.пл.Внеб.(50300)СВОД'!J20</f>
        <v>13053000</v>
      </c>
    </row>
    <row r="15" spans="2:8" s="23" customFormat="1" ht="15">
      <c r="B15" s="28" t="s">
        <v>38</v>
      </c>
      <c r="C15" s="22"/>
      <c r="D15" s="99">
        <f>'Касс. план Обл. бюдж.'!D22+'Касс.пл. ХМАО'!D22+'Касс.пл.Внеб.(50300)СВОД'!D28+'Субсидия (50500)'!D21</f>
        <v>40233312.95</v>
      </c>
      <c r="E15" s="100">
        <f aca="true" t="shared" si="1" ref="E15:E48">D15</f>
        <v>40233312.95</v>
      </c>
      <c r="F15" s="100"/>
      <c r="G15" s="101">
        <f>'Касс. план Обл. бюдж.'!I22+'Касс.пл. ХМАО'!I22+'Касс.пл.Внеб.(50300)СВОД'!I28+'Субсидия (50500)'!I20</f>
        <v>46046000</v>
      </c>
      <c r="H15" s="101">
        <f>'Касс. план Обл. бюдж.'!J22+'Касс.пл. ХМАО'!J22+'Касс.пл.Внеб.(50300)СВОД'!J28+'Субсидия (50500)'!J20</f>
        <v>51963000</v>
      </c>
    </row>
    <row r="16" spans="2:8" s="23" customFormat="1" ht="15">
      <c r="B16" s="28" t="s">
        <v>33</v>
      </c>
      <c r="C16" s="22"/>
      <c r="D16" s="99">
        <f>'Касс. план Обл. бюдж.'!D23+'Касс.пл. ХМАО'!D23+'Касс.пл.Внеб.(50300)СВОД'!D29</f>
        <v>0</v>
      </c>
      <c r="E16" s="100">
        <f t="shared" si="1"/>
        <v>0</v>
      </c>
      <c r="F16" s="100"/>
      <c r="G16" s="101">
        <f>'Касс. план Обл. бюдж.'!I23+'Касс.пл. ХМАО'!I23+'Касс.пл.Внеб.(50300)СВОД'!I29+'Субсидия (50500)'!I21</f>
        <v>0</v>
      </c>
      <c r="H16" s="101">
        <f>'Касс. план Обл. бюдж.'!J23+'Касс.пл. ХМАО'!J23+'Касс.пл.Внеб.(50300)СВОД'!J29+'Субсидия (50500)'!J21</f>
        <v>0</v>
      </c>
    </row>
    <row r="17" spans="2:8" s="23" customFormat="1" ht="31.5">
      <c r="B17" s="30" t="s">
        <v>105</v>
      </c>
      <c r="C17" s="25">
        <v>210</v>
      </c>
      <c r="D17" s="102">
        <f>'Касс. план Обл. бюдж.'!D24+'Касс.пл. ХМАО'!D24+'Касс.пл.Внеб.(50300)СВОД'!D30+'Субсидия (50500)'!D23</f>
        <v>26031629.67</v>
      </c>
      <c r="E17" s="103">
        <f t="shared" si="1"/>
        <v>26031629.67</v>
      </c>
      <c r="F17" s="103"/>
      <c r="G17" s="104">
        <f>'Касс. план Обл. бюдж.'!I24+'Касс.пл. ХМАО'!I24+'Касс.пл.Внеб.(50300)СВОД'!I30+'Субсидия (50500)'!I22</f>
        <v>32266952</v>
      </c>
      <c r="H17" s="104">
        <f>'Касс. план Обл. бюдж.'!J24+'Касс.пл. ХМАО'!J24+'Касс.пл.Внеб.(50300)СВОД'!J30+'Субсидия (50500)'!J22</f>
        <v>37711263</v>
      </c>
    </row>
    <row r="18" spans="2:8" s="23" customFormat="1" ht="15">
      <c r="B18" s="28" t="s">
        <v>39</v>
      </c>
      <c r="C18" s="22">
        <v>211</v>
      </c>
      <c r="D18" s="99">
        <f>'Касс. план Обл. бюдж.'!D25+'Касс.пл. ХМАО'!D25+'Касс.пл.Внеб.(50300)СВОД'!D31+'Субсидия (50500)'!D24</f>
        <v>20350219</v>
      </c>
      <c r="E18" s="100">
        <f t="shared" si="1"/>
        <v>20350219</v>
      </c>
      <c r="F18" s="100"/>
      <c r="G18" s="101">
        <f>'Касс. план Обл. бюдж.'!I25+'Касс.пл. ХМАО'!I25+'Касс.пл.Внеб.(50300)СВОД'!I31+'Субсидия (50500)'!I23</f>
        <v>24776000</v>
      </c>
      <c r="H18" s="101">
        <f>'Касс. план Обл. бюдж.'!J25+'Касс.пл. ХМАО'!J25+'Касс.пл.Внеб.(50300)СВОД'!J31+'Субсидия (50500)'!J23</f>
        <v>28956992</v>
      </c>
    </row>
    <row r="19" spans="2:8" s="23" customFormat="1" ht="15">
      <c r="B19" s="28" t="s">
        <v>41</v>
      </c>
      <c r="C19" s="22">
        <v>212</v>
      </c>
      <c r="D19" s="99">
        <f>'Касс. план Обл. бюдж.'!D26+'Касс.пл. ХМАО'!D26+'Касс.пл.Внеб.(50300)СВОД'!D32+'Субсидия (50500)'!D25</f>
        <v>6000</v>
      </c>
      <c r="E19" s="100">
        <f t="shared" si="1"/>
        <v>6000</v>
      </c>
      <c r="F19" s="100"/>
      <c r="G19" s="101">
        <f>'Касс. план Обл. бюдж.'!I26+'Касс.пл. ХМАО'!I26+'Касс.пл.Внеб.(50300)СВОД'!I32+'Субсидия (50500)'!I24</f>
        <v>6600</v>
      </c>
      <c r="H19" s="101">
        <f>'Касс. план Обл. бюдж.'!J26+'Касс.пл. ХМАО'!J26+'Касс.пл.Внеб.(50300)СВОД'!J32+'Субсидия (50500)'!J24</f>
        <v>7260</v>
      </c>
    </row>
    <row r="20" spans="2:8" s="23" customFormat="1" ht="30">
      <c r="B20" s="28" t="s">
        <v>42</v>
      </c>
      <c r="C20" s="22">
        <v>213</v>
      </c>
      <c r="D20" s="99">
        <f>'Касс. план Обл. бюдж.'!D27+'Касс.пл. ХМАО'!D27+'Касс.пл.Внеб.(50300)СВОД'!D33+'Субсидия (50500)'!D26</f>
        <v>5675410.67</v>
      </c>
      <c r="E20" s="100">
        <f t="shared" si="1"/>
        <v>5675410.67</v>
      </c>
      <c r="F20" s="100"/>
      <c r="G20" s="127">
        <f>'Касс. план Обл. бюдж.'!I27+'Касс.пл. ХМАО'!I27+'Касс.пл.Внеб.(50300)СВОД'!I33+'Субсидия (50500)'!I25</f>
        <v>7484352</v>
      </c>
      <c r="H20" s="127">
        <f>'Касс. план Обл. бюдж.'!J27+'Касс.пл. ХМАО'!J27+'Касс.пл.Внеб.(50300)СВОД'!J33+'Субсидия (50500)'!J25</f>
        <v>8747011</v>
      </c>
    </row>
    <row r="21" spans="2:8" s="23" customFormat="1" ht="15.75">
      <c r="B21" s="30" t="s">
        <v>44</v>
      </c>
      <c r="C21" s="25">
        <v>220</v>
      </c>
      <c r="D21" s="102">
        <f>'Касс. план Обл. бюдж.'!D28+'Касс.пл. ХМАО'!D28+'Касс.пл.Внеб.(50300)СВОД'!D34+'Субсидия (50500)'!D27</f>
        <v>5941017</v>
      </c>
      <c r="E21" s="103">
        <f t="shared" si="1"/>
        <v>5941017</v>
      </c>
      <c r="F21" s="103"/>
      <c r="G21" s="105">
        <f>'Касс. план Обл. бюдж.'!I28+'Касс.пл. ХМАО'!I28+'Касс.пл.Внеб.(50300)СВОД'!I34+'Субсидия (50500)'!I26</f>
        <v>5721448</v>
      </c>
      <c r="H21" s="105">
        <f>'Касс. план Обл. бюдж.'!J28+'Касс.пл. ХМАО'!J28+'Касс.пл.Внеб.(50300)СВОД'!J34+'Субсидия (50500)'!J26</f>
        <v>6183577</v>
      </c>
    </row>
    <row r="22" spans="2:8" s="23" customFormat="1" ht="15">
      <c r="B22" s="28" t="s">
        <v>32</v>
      </c>
      <c r="C22" s="22"/>
      <c r="D22" s="99">
        <f>'Касс. план Обл. бюдж.'!D29+'Касс.пл. ХМАО'!D29+'Касс.пл.Внеб.(50300)СВОД'!D35+'Субсидия (50500)'!D28</f>
        <v>0</v>
      </c>
      <c r="E22" s="100">
        <f t="shared" si="1"/>
        <v>0</v>
      </c>
      <c r="F22" s="100"/>
      <c r="G22" s="101">
        <f>'Касс. план Обл. бюдж.'!I29+'Касс.пл. ХМАО'!I29+'Касс.пл.Внеб.(50300)СВОД'!I35+'Субсидия (50500)'!I27</f>
        <v>0</v>
      </c>
      <c r="H22" s="101">
        <f>'Касс. план Обл. бюдж.'!J29+'Касс.пл. ХМАО'!J29+'Касс.пл.Внеб.(50300)СВОД'!J35+'Субсидия (50500)'!J27</f>
        <v>0</v>
      </c>
    </row>
    <row r="23" spans="2:8" s="23" customFormat="1" ht="15">
      <c r="B23" s="28" t="s">
        <v>46</v>
      </c>
      <c r="C23" s="22">
        <v>221</v>
      </c>
      <c r="D23" s="99">
        <f>'Касс. план Обл. бюдж.'!D30+'Касс.пл. ХМАО'!D30+'Касс.пл.Внеб.(50300)СВОД'!D36+'Субсидия (50500)'!D29</f>
        <v>112000</v>
      </c>
      <c r="E23" s="100">
        <f t="shared" si="1"/>
        <v>112000</v>
      </c>
      <c r="F23" s="100"/>
      <c r="G23" s="101">
        <f>'Касс. план Обл. бюдж.'!I30+'Касс.пл. ХМАО'!I30+'Касс.пл.Внеб.(50300)СВОД'!I36+'Субсидия (50500)'!I28</f>
        <v>123200</v>
      </c>
      <c r="H23" s="101">
        <f>'Касс. план Обл. бюдж.'!J30+'Касс.пл. ХМАО'!J30+'Касс.пл.Внеб.(50300)СВОД'!J36+'Субсидия (50500)'!J28</f>
        <v>135520</v>
      </c>
    </row>
    <row r="24" spans="2:8" s="23" customFormat="1" ht="15">
      <c r="B24" s="28" t="s">
        <v>48</v>
      </c>
      <c r="C24" s="22">
        <v>222</v>
      </c>
      <c r="D24" s="99">
        <f>'Касс. план Обл. бюдж.'!D31+'Касс.пл. ХМАО'!D31+'Касс.пл.Внеб.(50300)СВОД'!D37+'Субсидия (50500)'!D30</f>
        <v>10000</v>
      </c>
      <c r="E24" s="100">
        <f t="shared" si="1"/>
        <v>10000</v>
      </c>
      <c r="F24" s="100"/>
      <c r="G24" s="101">
        <f>'Касс. план Обл. бюдж.'!I31+'Касс.пл. ХМАО'!I31+'Касс.пл.Внеб.(50300)СВОД'!I37+'Субсидия (50500)'!I29</f>
        <v>11000</v>
      </c>
      <c r="H24" s="101">
        <f>'Касс. план Обл. бюдж.'!J31+'Касс.пл. ХМАО'!J31+'Касс.пл.Внеб.(50300)СВОД'!J37+'Субсидия (50500)'!J29</f>
        <v>12100</v>
      </c>
    </row>
    <row r="25" spans="2:8" s="23" customFormat="1" ht="15">
      <c r="B25" s="28" t="s">
        <v>50</v>
      </c>
      <c r="C25" s="22">
        <v>223</v>
      </c>
      <c r="D25" s="99">
        <f>'Касс. план Обл. бюдж.'!D32+'Касс.пл. ХМАО'!D32+'Касс.пл.Внеб.(50300)СВОД'!D38+'Субсидия (50500)'!D31</f>
        <v>2424000</v>
      </c>
      <c r="E25" s="100">
        <f t="shared" si="1"/>
        <v>2424000</v>
      </c>
      <c r="F25" s="100"/>
      <c r="G25" s="101">
        <f>'Касс. план Обл. бюдж.'!I32+'Касс.пл. ХМАО'!I32+'Касс.пл.Внеб.(50300)СВОД'!I38+'Субсидия (50500)'!I30</f>
        <v>2645500</v>
      </c>
      <c r="H25" s="101">
        <f>'Касс. план Обл. бюдж.'!J32+'Касс.пл. ХМАО'!J32+'Касс.пл.Внеб.(50300)СВОД'!J38+'Субсидия (50500)'!J30</f>
        <v>2889150</v>
      </c>
    </row>
    <row r="26" spans="2:8" s="23" customFormat="1" ht="30">
      <c r="B26" s="28" t="s">
        <v>52</v>
      </c>
      <c r="C26" s="22">
        <v>224</v>
      </c>
      <c r="D26" s="99">
        <f>'Касс. план Обл. бюдж.'!D33+'Касс.пл. ХМАО'!D33+'Касс.пл.Внеб.(50300)СВОД'!D39+'Субсидия (50500)'!D32</f>
        <v>0</v>
      </c>
      <c r="E26" s="100">
        <f t="shared" si="1"/>
        <v>0</v>
      </c>
      <c r="F26" s="100"/>
      <c r="G26" s="101">
        <f>'Касс. план Обл. бюдж.'!I33+'Касс.пл. ХМАО'!I33+'Касс.пл.Внеб.(50300)СВОД'!I39+'Субсидия (50500)'!I31</f>
        <v>0</v>
      </c>
      <c r="H26" s="101">
        <f>'Касс. план Обл. бюдж.'!J33+'Касс.пл. ХМАО'!J33+'Касс.пл.Внеб.(50300)СВОД'!J39+'Субсидия (50500)'!J31</f>
        <v>0</v>
      </c>
    </row>
    <row r="27" spans="2:8" s="23" customFormat="1" ht="30">
      <c r="B27" s="28" t="s">
        <v>54</v>
      </c>
      <c r="C27" s="22">
        <v>225</v>
      </c>
      <c r="D27" s="99">
        <f>'Касс. план Обл. бюдж.'!D34+'Касс.пл. ХМАО'!D34+'Касс.пл.Внеб.(50300)СВОД'!D40+'Субсидия (50500)'!D33</f>
        <v>2082017</v>
      </c>
      <c r="E27" s="100">
        <f t="shared" si="1"/>
        <v>2082017</v>
      </c>
      <c r="F27" s="100"/>
      <c r="G27" s="127">
        <f>'Касс. план Обл. бюдж.'!I34+'Касс.пл. ХМАО'!I34+'Касс.пл.Внеб.(50300)СВОД'!I40+'Субсидия (50500)'!I32</f>
        <v>1213548</v>
      </c>
      <c r="H27" s="127">
        <f>'Касс. план Обл. бюдж.'!J34+'Касс.пл. ХМАО'!J34+'Касс.пл.Внеб.(50300)СВОД'!J40+'Субсидия (50500)'!J32</f>
        <v>1289203</v>
      </c>
    </row>
    <row r="28" spans="2:8" s="23" customFormat="1" ht="15">
      <c r="B28" s="28" t="s">
        <v>110</v>
      </c>
      <c r="C28" s="22">
        <v>226</v>
      </c>
      <c r="D28" s="99">
        <f>'Касс. план Обл. бюдж.'!D37+'Касс.пл. ХМАО'!D37+'Касс.пл.Внеб.(50300)СВОД'!D43+'Субсидия (50500)'!D36</f>
        <v>1313000</v>
      </c>
      <c r="E28" s="100">
        <f t="shared" si="1"/>
        <v>1313000</v>
      </c>
      <c r="F28" s="100"/>
      <c r="G28" s="101">
        <f>'Касс. план Обл. бюдж.'!I37+'Касс.пл. ХМАО'!I37+'Касс.пл.Внеб.(50300)СВОД'!I43+'Субсидия (50500)'!I33</f>
        <v>1728200</v>
      </c>
      <c r="H28" s="101">
        <f>'Касс. план Обл. бюдж.'!J37+'Касс.пл. ХМАО'!J37+'Касс.пл.Внеб.(50300)СВОД'!J43+'Субсидия (50500)'!J33</f>
        <v>1857604</v>
      </c>
    </row>
    <row r="29" spans="2:8" s="23" customFormat="1" ht="31.5">
      <c r="B29" s="30" t="s">
        <v>103</v>
      </c>
      <c r="C29" s="25">
        <v>240</v>
      </c>
      <c r="D29" s="102">
        <f>'Касс. план Обл. бюдж.'!D40+'Касс.пл. ХМАО'!D40+'Касс.пл.Внеб.(50300)СВОД'!D46+'Субсидия (50500)'!D39</f>
        <v>0</v>
      </c>
      <c r="E29" s="103">
        <f t="shared" si="1"/>
        <v>0</v>
      </c>
      <c r="F29" s="103"/>
      <c r="G29" s="106">
        <f>'Касс. план Обл. бюдж.'!I40+'Касс.пл. ХМАО'!I40+'Касс.пл.Внеб.(50300)СВОД'!I46+'Субсидия (50500)'!I36</f>
        <v>0</v>
      </c>
      <c r="H29" s="106">
        <f>'Касс. план Обл. бюдж.'!J40+'Касс.пл. ХМАО'!J40+'Касс.пл.Внеб.(50300)СВОД'!J46+'Субсидия (50500)'!J36</f>
        <v>0</v>
      </c>
    </row>
    <row r="30" spans="2:8" s="23" customFormat="1" ht="15">
      <c r="B30" s="28" t="s">
        <v>32</v>
      </c>
      <c r="C30" s="22"/>
      <c r="D30" s="102">
        <f>'Касс. план Обл. бюдж.'!D41+'Касс.пл. ХМАО'!D41+'Касс.пл.Внеб.(50300)СВОД'!D47+'Субсидия (50500)'!D40</f>
        <v>0</v>
      </c>
      <c r="E30" s="100">
        <f t="shared" si="1"/>
        <v>0</v>
      </c>
      <c r="F30" s="100"/>
      <c r="G30" s="101">
        <f>'Касс. план Обл. бюдж.'!I41+'Касс.пл. ХМАО'!I41+'Касс.пл.Внеб.(50300)СВОД'!I47+'Субсидия (50500)'!I39</f>
        <v>0</v>
      </c>
      <c r="H30" s="101">
        <f>'Касс. план Обл. бюдж.'!J41+'Касс.пл. ХМАО'!J41+'Касс.пл.Внеб.(50300)СВОД'!J47+'Субсидия (50500)'!J39</f>
        <v>0</v>
      </c>
    </row>
    <row r="31" spans="2:8" s="23" customFormat="1" ht="45">
      <c r="B31" s="28" t="s">
        <v>104</v>
      </c>
      <c r="C31" s="22">
        <v>241</v>
      </c>
      <c r="D31" s="99">
        <f>'Касс. план Обл. бюдж.'!D42+'Касс.пл. ХМАО'!D42+'Касс.пл.Внеб.(50300)СВОД'!D48+'Субсидия (50500)'!D41</f>
        <v>0</v>
      </c>
      <c r="E31" s="100">
        <f t="shared" si="1"/>
        <v>0</v>
      </c>
      <c r="F31" s="100"/>
      <c r="G31" s="101">
        <f>'Касс. план Обл. бюдж.'!I42+'Касс.пл. ХМАО'!I42+'Касс.пл.Внеб.(50300)СВОД'!I48+'Субсидия (50500)'!I40</f>
        <v>0</v>
      </c>
      <c r="H31" s="101">
        <f>'Касс. план Обл. бюдж.'!J42+'Касс.пл. ХМАО'!J42+'Касс.пл.Внеб.(50300)СВОД'!J48+'Субсидия (50500)'!J40</f>
        <v>0</v>
      </c>
    </row>
    <row r="32" spans="2:8" s="23" customFormat="1" ht="15.75">
      <c r="B32" s="30" t="s">
        <v>56</v>
      </c>
      <c r="C32" s="25">
        <v>260</v>
      </c>
      <c r="D32" s="102">
        <f>'Касс. план Обл. бюдж.'!D43+'Касс.пл. ХМАО'!D43+'Касс.пл.Внеб.(50300)СВОД'!D49+'Субсидия (50500)'!D42</f>
        <v>0</v>
      </c>
      <c r="E32" s="103">
        <f t="shared" si="1"/>
        <v>0</v>
      </c>
      <c r="F32" s="103"/>
      <c r="G32" s="101">
        <f>'Касс. план Обл. бюдж.'!I43+'Касс.пл. ХМАО'!I43+'Касс.пл.Внеб.(50300)СВОД'!I49+'Субсидия (50500)'!I41</f>
        <v>0</v>
      </c>
      <c r="H32" s="101">
        <f>'Касс. план Обл. бюдж.'!J43+'Касс.пл. ХМАО'!J43+'Касс.пл.Внеб.(50300)СВОД'!J49+'Субсидия (50500)'!J41</f>
        <v>0</v>
      </c>
    </row>
    <row r="33" spans="2:8" s="23" customFormat="1" ht="15">
      <c r="B33" s="28" t="s">
        <v>32</v>
      </c>
      <c r="C33" s="22"/>
      <c r="D33" s="99">
        <f>'Касс. план Обл. бюдж.'!D44+'Касс.пл. ХМАО'!D44+'Касс.пл.Внеб.(50300)СВОД'!D50+'Субсидия (50500)'!D43</f>
        <v>0</v>
      </c>
      <c r="E33" s="100">
        <f t="shared" si="1"/>
        <v>0</v>
      </c>
      <c r="F33" s="100"/>
      <c r="G33" s="101">
        <f>'Касс. план Обл. бюдж.'!I44+'Касс.пл. ХМАО'!I44+'Касс.пл.Внеб.(50300)СВОД'!I50+'Субсидия (50500)'!I42</f>
        <v>0</v>
      </c>
      <c r="H33" s="101">
        <f>'Касс. план Обл. бюдж.'!J44+'Касс.пл. ХМАО'!J44+'Касс.пл.Внеб.(50300)СВОД'!J50+'Субсидия (50500)'!J42</f>
        <v>0</v>
      </c>
    </row>
    <row r="34" spans="2:8" s="23" customFormat="1" ht="30">
      <c r="B34" s="28" t="s">
        <v>58</v>
      </c>
      <c r="C34" s="22">
        <v>262</v>
      </c>
      <c r="D34" s="99">
        <f>'Касс. план Обл. бюдж.'!D45+'Касс.пл. ХМАО'!D45+'Касс.пл.Внеб.(50300)СВОД'!D51+'Субсидия (50500)'!D44</f>
        <v>0</v>
      </c>
      <c r="E34" s="100">
        <f t="shared" si="1"/>
        <v>0</v>
      </c>
      <c r="F34" s="100"/>
      <c r="G34" s="101">
        <f>'Касс. план Обл. бюдж.'!I45+'Касс.пл. ХМАО'!I45+'Касс.пл.Внеб.(50300)СВОД'!I51+'Субсидия (50500)'!I43</f>
        <v>0</v>
      </c>
      <c r="H34" s="101">
        <f>'Касс. план Обл. бюдж.'!J45+'Касс.пл. ХМАО'!J45+'Касс.пл.Внеб.(50300)СВОД'!J51+'Субсидия (50500)'!J43</f>
        <v>0</v>
      </c>
    </row>
    <row r="35" spans="2:8" s="23" customFormat="1" ht="45">
      <c r="B35" s="28" t="s">
        <v>60</v>
      </c>
      <c r="C35" s="22">
        <v>263</v>
      </c>
      <c r="D35" s="99">
        <f>'Касс. план Обл. бюдж.'!D46+'Касс.пл. ХМАО'!D46+'Касс.пл.Внеб.(50300)СВОД'!D52+'Субсидия (50500)'!D45</f>
        <v>0</v>
      </c>
      <c r="E35" s="100">
        <f t="shared" si="1"/>
        <v>0</v>
      </c>
      <c r="F35" s="100"/>
      <c r="G35" s="101">
        <f>'Касс. план Обл. бюдж.'!I46+'Касс.пл. ХМАО'!I46+'Касс.пл.Внеб.(50300)СВОД'!I52+'Субсидия (50500)'!I44</f>
        <v>0</v>
      </c>
      <c r="H35" s="101">
        <f>'Касс. план Обл. бюдж.'!J46+'Касс.пл. ХМАО'!J46+'Касс.пл.Внеб.(50300)СВОД'!J52+'Субсидия (50500)'!J44</f>
        <v>0</v>
      </c>
    </row>
    <row r="36" spans="2:8" s="23" customFormat="1" ht="15.75">
      <c r="B36" s="30" t="s">
        <v>62</v>
      </c>
      <c r="C36" s="25">
        <v>290</v>
      </c>
      <c r="D36" s="102">
        <f>'Касс. план Обл. бюдж.'!D47+'Касс.пл. ХМАО'!D47+'Касс.пл.Внеб.(50300)СВОД'!D53+'Субсидия (50500)'!D46</f>
        <v>107000</v>
      </c>
      <c r="E36" s="103">
        <f t="shared" si="1"/>
        <v>107000</v>
      </c>
      <c r="F36" s="103"/>
      <c r="G36" s="105">
        <f>'Касс. план Обл. бюдж.'!I47+'Касс.пл. ХМАО'!I47+'Касс.пл.Внеб.(50300)СВОД'!I53+'Субсидия (50500)'!I45</f>
        <v>110200</v>
      </c>
      <c r="H36" s="105">
        <f>'Касс. план Обл. бюдж.'!J47+'Касс.пл. ХМАО'!J47+'Касс.пл.Внеб.(50300)СВОД'!J53+'Субсидия (50500)'!J45</f>
        <v>113720</v>
      </c>
    </row>
    <row r="37" spans="2:8" s="23" customFormat="1" ht="31.5">
      <c r="B37" s="30" t="s">
        <v>64</v>
      </c>
      <c r="C37" s="25">
        <v>300</v>
      </c>
      <c r="D37" s="102">
        <f>'Касс. план Обл. бюдж.'!D48+'Касс.пл. ХМАО'!D48+'Касс.пл.Внеб.(50300)СВОД'!D54+'Субсидия (50500)'!D47</f>
        <v>8153666.28</v>
      </c>
      <c r="E37" s="103">
        <f t="shared" si="1"/>
        <v>8153666.28</v>
      </c>
      <c r="F37" s="103"/>
      <c r="G37" s="104">
        <f>'Касс. план Обл. бюдж.'!I48+'Касс.пл. ХМАО'!I48+'Касс.пл.Внеб.(50300)СВОД'!I54+'Субсидия (50500)'!I46</f>
        <v>7947400</v>
      </c>
      <c r="H37" s="104">
        <f>'Касс. план Обл. бюдж.'!J48+'Касс.пл. ХМАО'!J48+'Касс.пл.Внеб.(50300)СВОД'!J54+'Субсидия (50500)'!J46</f>
        <v>7954440</v>
      </c>
    </row>
    <row r="38" spans="2:8" s="23" customFormat="1" ht="15">
      <c r="B38" s="28" t="s">
        <v>32</v>
      </c>
      <c r="C38" s="22"/>
      <c r="D38" s="102">
        <f>'Касс. план Обл. бюдж.'!D49+'Касс.пл. ХМАО'!D49+'Касс.пл.Внеб.(50300)СВОД'!D55+'Субсидия (50500)'!D48</f>
        <v>0</v>
      </c>
      <c r="E38" s="100">
        <f t="shared" si="1"/>
        <v>0</v>
      </c>
      <c r="F38" s="100"/>
      <c r="G38" s="126">
        <f>'Касс. план Обл. бюдж.'!I49+'Касс.пл. ХМАО'!I49+'Касс.пл.Внеб.(50300)СВОД'!I55+'Субсидия (50500)'!I47</f>
        <v>0</v>
      </c>
      <c r="H38" s="126">
        <f>'Касс. план Обл. бюдж.'!J49+'Касс.пл. ХМАО'!J49+'Касс.пл.Внеб.(50300)СВОД'!J55+'Субсидия (50500)'!J47</f>
        <v>0</v>
      </c>
    </row>
    <row r="39" spans="2:8" s="23" customFormat="1" ht="30">
      <c r="B39" s="28" t="s">
        <v>66</v>
      </c>
      <c r="C39" s="22">
        <v>310</v>
      </c>
      <c r="D39" s="99">
        <f>'Касс. план Обл. бюдж.'!D50+'Касс.пл. ХМАО'!D50+'Касс.пл.Внеб.(50300)СВОД'!D56+'Субсидия (50500)'!D49</f>
        <v>1021000</v>
      </c>
      <c r="E39" s="100">
        <f t="shared" si="1"/>
        <v>1021000</v>
      </c>
      <c r="F39" s="100"/>
      <c r="G39" s="126">
        <f>'Касс. план Обл. бюдж.'!I50+'Касс.пл. ХМАО'!I50+'Касс.пл.Внеб.(50300)СВОД'!I56+'Субсидия (50500)'!I48</f>
        <v>844400</v>
      </c>
      <c r="H39" s="126">
        <f>'Касс. план Обл. бюдж.'!J50+'Касс.пл. ХМАО'!J50+'Касс.пл.Внеб.(50300)СВОД'!J56+'Субсидия (50500)'!J48</f>
        <v>851440</v>
      </c>
    </row>
    <row r="40" spans="2:8" s="23" customFormat="1" ht="30">
      <c r="B40" s="28" t="s">
        <v>68</v>
      </c>
      <c r="C40" s="22">
        <v>320</v>
      </c>
      <c r="D40" s="99">
        <f>'Касс. план Обл. бюдж.'!D51+'Касс.пл. ХМАО'!D51+'Касс.пл.Внеб.(50300)СВОД'!D57+'Субсидия (50500)'!D50</f>
        <v>0</v>
      </c>
      <c r="E40" s="100">
        <f t="shared" si="1"/>
        <v>0</v>
      </c>
      <c r="F40" s="100"/>
      <c r="G40" s="101">
        <f>'Касс. план Обл. бюдж.'!I51+'Касс.пл. ХМАО'!I51+'Касс.пл.Внеб.(50300)СВОД'!I57+'Субсидия (50500)'!I49</f>
        <v>0</v>
      </c>
      <c r="H40" s="101">
        <f>'Касс. план Обл. бюдж.'!J51+'Касс.пл. ХМАО'!J51+'Касс.пл.Внеб.(50300)СВОД'!J57+'Субсидия (50500)'!J49</f>
        <v>0</v>
      </c>
    </row>
    <row r="41" spans="2:8" s="23" customFormat="1" ht="30">
      <c r="B41" s="28" t="s">
        <v>80</v>
      </c>
      <c r="C41" s="22">
        <v>330</v>
      </c>
      <c r="D41" s="99">
        <f>'Касс. план Обл. бюдж.'!D52+'Касс.пл. ХМАО'!D52+'Касс.пл.Внеб.(50300)СВОД'!D58+'Субсидия (50500)'!D51</f>
        <v>0</v>
      </c>
      <c r="E41" s="100">
        <f t="shared" si="1"/>
        <v>0</v>
      </c>
      <c r="F41" s="100"/>
      <c r="G41" s="101">
        <f>'Касс. план Обл. бюдж.'!I52+'Касс.пл. ХМАО'!I52+'Касс.пл.Внеб.(50300)СВОД'!I58+'Субсидия (50500)'!I50</f>
        <v>0</v>
      </c>
      <c r="H41" s="101">
        <f>'Касс. план Обл. бюдж.'!J52+'Касс.пл. ХМАО'!J52+'Касс.пл.Внеб.(50300)СВОД'!J58+'Субсидия (50500)'!J50</f>
        <v>0</v>
      </c>
    </row>
    <row r="42" spans="2:8" s="23" customFormat="1" ht="30">
      <c r="B42" s="28" t="s">
        <v>70</v>
      </c>
      <c r="C42" s="22">
        <v>340</v>
      </c>
      <c r="D42" s="99">
        <f>'Касс. план Обл. бюдж.'!D53+'Касс.пл. ХМАО'!D53+'Касс.пл.Внеб.(50300)СВОД'!D59+'Субсидия (50500)'!D52</f>
        <v>7132666.28</v>
      </c>
      <c r="E42" s="100">
        <f t="shared" si="1"/>
        <v>7132666.28</v>
      </c>
      <c r="F42" s="100"/>
      <c r="G42" s="127">
        <f>'Касс. план Обл. бюдж.'!I53+'Касс.пл. ХМАО'!I53+'Касс.пл.Внеб.(50300)СВОД'!I59+'Субсидия (50500)'!I51</f>
        <v>7103000</v>
      </c>
      <c r="H42" s="127">
        <f>'Касс. план Обл. бюдж.'!J53+'Касс.пл. ХМАО'!J53+'Касс.пл.Внеб.(50300)СВОД'!J59+'Субсидия (50500)'!J51</f>
        <v>7103000</v>
      </c>
    </row>
    <row r="43" spans="2:8" s="23" customFormat="1" ht="31.5">
      <c r="B43" s="30" t="s">
        <v>72</v>
      </c>
      <c r="C43" s="25">
        <v>500</v>
      </c>
      <c r="D43" s="102">
        <f>'Касс. план Обл. бюдж.'!D59+'Касс.пл. ХМАО'!D59+'Касс.пл.Внеб.(50300)СВОД'!D65+'Субсидия (50500)'!D58</f>
        <v>0</v>
      </c>
      <c r="E43" s="100">
        <f t="shared" si="1"/>
        <v>0</v>
      </c>
      <c r="F43" s="100"/>
      <c r="G43" s="101">
        <f>'Касс. план Обл. бюдж.'!I59+'Касс.пл. ХМАО'!I59+'Касс.пл.Внеб.(50300)СВОД'!I65+'Субсидия (50500)'!I52</f>
        <v>0</v>
      </c>
      <c r="H43" s="101">
        <f>'Касс. план Обл. бюдж.'!J59+'Касс.пл. ХМАО'!J59+'Касс.пл.Внеб.(50300)СВОД'!J65+'Субсидия (50500)'!J52</f>
        <v>0</v>
      </c>
    </row>
    <row r="44" spans="2:8" s="23" customFormat="1" ht="15">
      <c r="B44" s="28" t="s">
        <v>32</v>
      </c>
      <c r="C44" s="22"/>
      <c r="D44" s="102">
        <f>'Касс. план Обл. бюдж.'!D60+'Касс.пл. ХМАО'!D60+'Касс.пл.Внеб.(50300)СВОД'!D66+'Субсидия (50500)'!D59</f>
        <v>0</v>
      </c>
      <c r="E44" s="100">
        <f t="shared" si="1"/>
        <v>0</v>
      </c>
      <c r="F44" s="100"/>
      <c r="G44" s="101">
        <f>'Касс. план Обл. бюдж.'!I60+'Касс.пл. ХМАО'!I60+'Касс.пл.Внеб.(50300)СВОД'!I66+'Субсидия (50500)'!I58</f>
        <v>0</v>
      </c>
      <c r="H44" s="101">
        <f>'Касс. план Обл. бюдж.'!J60+'Касс.пл. ХМАО'!J60+'Касс.пл.Внеб.(50300)СВОД'!J66+'Субсидия (50500)'!J58</f>
        <v>0</v>
      </c>
    </row>
    <row r="45" spans="2:8" s="23" customFormat="1" ht="45">
      <c r="B45" s="28" t="s">
        <v>74</v>
      </c>
      <c r="C45" s="22">
        <v>520</v>
      </c>
      <c r="D45" s="99">
        <f>'Касс. план Обл. бюдж.'!D61+'Касс.пл. ХМАО'!D61+'Касс.пл.Внеб.(50300)СВОД'!D67+'Субсидия (50500)'!D60</f>
        <v>0</v>
      </c>
      <c r="E45" s="100">
        <f t="shared" si="1"/>
        <v>0</v>
      </c>
      <c r="F45" s="100"/>
      <c r="G45" s="101">
        <f>'Касс. план Обл. бюдж.'!I61+'Касс.пл. ХМАО'!I61+'Касс.пл.Внеб.(50300)СВОД'!I67+'Субсидия (50500)'!I59</f>
        <v>0</v>
      </c>
      <c r="H45" s="101">
        <f>'Касс. план Обл. бюдж.'!J61+'Касс.пл. ХМАО'!J61+'Касс.пл.Внеб.(50300)СВОД'!J67+'Субсидия (50500)'!J59</f>
        <v>0</v>
      </c>
    </row>
    <row r="46" spans="2:8" s="23" customFormat="1" ht="30">
      <c r="B46" s="28" t="s">
        <v>76</v>
      </c>
      <c r="C46" s="22">
        <v>530</v>
      </c>
      <c r="D46" s="99">
        <f>'Касс. план Обл. бюдж.'!D62+'Касс.пл. ХМАО'!D62+'Касс.пл.Внеб.(50300)СВОД'!D68+'Субсидия (50500)'!D61</f>
        <v>0</v>
      </c>
      <c r="E46" s="100">
        <f t="shared" si="1"/>
        <v>0</v>
      </c>
      <c r="F46" s="100"/>
      <c r="G46" s="101">
        <f>'Касс. план Обл. бюдж.'!I62+'Касс.пл. ХМАО'!I62+'Касс.пл.Внеб.(50300)СВОД'!I68+'Субсидия (50500)'!I60</f>
        <v>0</v>
      </c>
      <c r="H46" s="101">
        <f>'Касс. план Обл. бюдж.'!J62+'Касс.пл. ХМАО'!J62+'Касс.пл.Внеб.(50300)СВОД'!J68+'Субсидия (50500)'!J60</f>
        <v>0</v>
      </c>
    </row>
    <row r="47" spans="2:8" s="23" customFormat="1" ht="15">
      <c r="B47" s="28" t="s">
        <v>78</v>
      </c>
      <c r="C47" s="22"/>
      <c r="D47" s="99">
        <f>'Касс. план Обл. бюдж.'!D63+'Касс.пл. ХМАО'!D63+'Касс.пл.Внеб.(50300)СВОД'!D69+'Субсидия (50500)'!D62</f>
        <v>0</v>
      </c>
      <c r="E47" s="100">
        <f t="shared" si="1"/>
        <v>0</v>
      </c>
      <c r="F47" s="100"/>
      <c r="G47" s="101">
        <f>'Касс. план Обл. бюдж.'!I63+'Касс.пл. ХМАО'!I63+'Касс.пл.Внеб.(50300)СВОД'!I69+'Субсидия (50500)'!I61</f>
        <v>0</v>
      </c>
      <c r="H47" s="101">
        <f>'Касс. план Обл. бюдж.'!J63+'Касс.пл. ХМАО'!J63+'Касс.пл.Внеб.(50300)СВОД'!J69+'Субсидия (50500)'!J61</f>
        <v>0</v>
      </c>
    </row>
    <row r="48" spans="2:8" s="23" customFormat="1" ht="15">
      <c r="B48" s="28" t="s">
        <v>79</v>
      </c>
      <c r="C48" s="22" t="s">
        <v>36</v>
      </c>
      <c r="D48" s="99">
        <f>'Касс. план Обл. бюдж.'!D64+'Касс.пл. ХМАО'!D64+'Касс.пл.Внеб.(50300)СВОД'!D70+'Субсидия (50500)'!D63</f>
        <v>0</v>
      </c>
      <c r="E48" s="100">
        <f t="shared" si="1"/>
        <v>0</v>
      </c>
      <c r="F48" s="100"/>
      <c r="G48" s="101">
        <f>'Касс. план Обл. бюдж.'!I64+'Касс.пл. ХМАО'!I64+'Касс.пл.Внеб.(50300)СВОД'!I70+'Субсидия (50500)'!I62</f>
        <v>0</v>
      </c>
      <c r="H48" s="101">
        <f>'Касс. план Обл. бюдж.'!J64+'Касс.пл. ХМАО'!J64+'Касс.пл.Внеб.(50300)СВОД'!J70+'Субсидия (50500)'!J62</f>
        <v>0</v>
      </c>
    </row>
    <row r="49" ht="25.15" customHeight="1"/>
  </sheetData>
  <sheetProtection formatCells="0" formatColumns="0" formatRows="0" insertHyperlinks="0" sort="0" autoFilter="0" pivotTables="0"/>
  <mergeCells count="9">
    <mergeCell ref="B4:H4"/>
    <mergeCell ref="B1:H1"/>
    <mergeCell ref="C6:C7"/>
    <mergeCell ref="D6:D7"/>
    <mergeCell ref="E6:F6"/>
    <mergeCell ref="G6:G7"/>
    <mergeCell ref="H6:H7"/>
    <mergeCell ref="B6:B7"/>
    <mergeCell ref="B3:H3"/>
  </mergeCells>
  <printOptions horizontalCentered="1"/>
  <pageMargins left="1.1811023622047245" right="0.3937007874015748" top="0.3937007874015748" bottom="0.3937007874015748" header="0.15748031496062992" footer="0.15748031496062992"/>
  <pageSetup fitToHeight="1" fitToWidth="1" horizontalDpi="600" verticalDpi="600" orientation="portrait" paperSize="9" scale="54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04"/>
  <sheetViews>
    <sheetView view="pageBreakPreview" zoomScale="60" workbookViewId="0" topLeftCell="A1">
      <pane xSplit="2" topLeftCell="I1" activePane="topRight" state="frozen"/>
      <selection pane="topLeft" activeCell="B17" sqref="B17:Y17"/>
      <selection pane="topRight" activeCell="H10" sqref="H10:H11"/>
    </sheetView>
  </sheetViews>
  <sheetFormatPr defaultColWidth="9.00390625" defaultRowHeight="12.75"/>
  <cols>
    <col min="1" max="1" width="56.375" style="162" customWidth="1"/>
    <col min="2" max="2" width="9.375" style="163" customWidth="1"/>
    <col min="3" max="3" width="22.00390625" style="163" customWidth="1"/>
    <col min="4" max="4" width="21.625" style="163" customWidth="1"/>
    <col min="5" max="5" width="18.75390625" style="163" customWidth="1"/>
    <col min="6" max="6" width="19.00390625" style="163" customWidth="1"/>
    <col min="7" max="7" width="19.125" style="163" customWidth="1"/>
    <col min="8" max="8" width="19.25390625" style="163" customWidth="1"/>
    <col min="9" max="9" width="18.75390625" style="163" customWidth="1"/>
    <col min="10" max="10" width="19.00390625" style="163" customWidth="1"/>
    <col min="11" max="11" width="17.625" style="163" customWidth="1"/>
    <col min="12" max="12" width="20.625" style="163" customWidth="1"/>
    <col min="13" max="14" width="18.75390625" style="163" customWidth="1"/>
    <col min="15" max="15" width="15.875" style="163" customWidth="1"/>
    <col min="16" max="16" width="15.25390625" style="163" customWidth="1"/>
    <col min="17" max="17" width="16.75390625" style="163" customWidth="1"/>
    <col min="18" max="18" width="71.25390625" style="163" customWidth="1"/>
    <col min="19" max="22" width="62.00390625" style="163" customWidth="1"/>
    <col min="23" max="256" width="9.125" style="163" customWidth="1"/>
    <col min="257" max="257" width="56.375" style="163" customWidth="1"/>
    <col min="258" max="258" width="9.375" style="163" customWidth="1"/>
    <col min="259" max="259" width="18.75390625" style="163" customWidth="1"/>
    <col min="260" max="260" width="17.125" style="163" customWidth="1"/>
    <col min="261" max="261" width="14.00390625" style="163" customWidth="1"/>
    <col min="262" max="262" width="14.625" style="163" customWidth="1"/>
    <col min="263" max="263" width="16.125" style="163" customWidth="1"/>
    <col min="264" max="264" width="19.25390625" style="163" customWidth="1"/>
    <col min="265" max="265" width="18.75390625" style="163" customWidth="1"/>
    <col min="266" max="266" width="16.00390625" style="163" customWidth="1"/>
    <col min="267" max="267" width="17.625" style="163" customWidth="1"/>
    <col min="268" max="268" width="17.25390625" style="163" customWidth="1"/>
    <col min="269" max="270" width="18.75390625" style="163" customWidth="1"/>
    <col min="271" max="271" width="15.875" style="163" customWidth="1"/>
    <col min="272" max="272" width="15.25390625" style="163" customWidth="1"/>
    <col min="273" max="273" width="16.75390625" style="163" customWidth="1"/>
    <col min="274" max="274" width="71.25390625" style="163" customWidth="1"/>
    <col min="275" max="278" width="62.00390625" style="163" customWidth="1"/>
    <col min="279" max="512" width="9.125" style="163" customWidth="1"/>
    <col min="513" max="513" width="56.375" style="163" customWidth="1"/>
    <col min="514" max="514" width="9.375" style="163" customWidth="1"/>
    <col min="515" max="515" width="18.75390625" style="163" customWidth="1"/>
    <col min="516" max="516" width="17.125" style="163" customWidth="1"/>
    <col min="517" max="517" width="14.00390625" style="163" customWidth="1"/>
    <col min="518" max="518" width="14.625" style="163" customWidth="1"/>
    <col min="519" max="519" width="16.125" style="163" customWidth="1"/>
    <col min="520" max="520" width="19.25390625" style="163" customWidth="1"/>
    <col min="521" max="521" width="18.75390625" style="163" customWidth="1"/>
    <col min="522" max="522" width="16.00390625" style="163" customWidth="1"/>
    <col min="523" max="523" width="17.625" style="163" customWidth="1"/>
    <col min="524" max="524" width="17.25390625" style="163" customWidth="1"/>
    <col min="525" max="526" width="18.75390625" style="163" customWidth="1"/>
    <col min="527" max="527" width="15.875" style="163" customWidth="1"/>
    <col min="528" max="528" width="15.25390625" style="163" customWidth="1"/>
    <col min="529" max="529" width="16.75390625" style="163" customWidth="1"/>
    <col min="530" max="530" width="71.25390625" style="163" customWidth="1"/>
    <col min="531" max="534" width="62.00390625" style="163" customWidth="1"/>
    <col min="535" max="768" width="9.125" style="163" customWidth="1"/>
    <col min="769" max="769" width="56.375" style="163" customWidth="1"/>
    <col min="770" max="770" width="9.375" style="163" customWidth="1"/>
    <col min="771" max="771" width="18.75390625" style="163" customWidth="1"/>
    <col min="772" max="772" width="17.125" style="163" customWidth="1"/>
    <col min="773" max="773" width="14.00390625" style="163" customWidth="1"/>
    <col min="774" max="774" width="14.625" style="163" customWidth="1"/>
    <col min="775" max="775" width="16.125" style="163" customWidth="1"/>
    <col min="776" max="776" width="19.25390625" style="163" customWidth="1"/>
    <col min="777" max="777" width="18.75390625" style="163" customWidth="1"/>
    <col min="778" max="778" width="16.00390625" style="163" customWidth="1"/>
    <col min="779" max="779" width="17.625" style="163" customWidth="1"/>
    <col min="780" max="780" width="17.25390625" style="163" customWidth="1"/>
    <col min="781" max="782" width="18.75390625" style="163" customWidth="1"/>
    <col min="783" max="783" width="15.875" style="163" customWidth="1"/>
    <col min="784" max="784" width="15.25390625" style="163" customWidth="1"/>
    <col min="785" max="785" width="16.75390625" style="163" customWidth="1"/>
    <col min="786" max="786" width="71.25390625" style="163" customWidth="1"/>
    <col min="787" max="790" width="62.00390625" style="163" customWidth="1"/>
    <col min="791" max="1024" width="9.125" style="163" customWidth="1"/>
    <col min="1025" max="1025" width="56.375" style="163" customWidth="1"/>
    <col min="1026" max="1026" width="9.375" style="163" customWidth="1"/>
    <col min="1027" max="1027" width="18.75390625" style="163" customWidth="1"/>
    <col min="1028" max="1028" width="17.125" style="163" customWidth="1"/>
    <col min="1029" max="1029" width="14.00390625" style="163" customWidth="1"/>
    <col min="1030" max="1030" width="14.625" style="163" customWidth="1"/>
    <col min="1031" max="1031" width="16.125" style="163" customWidth="1"/>
    <col min="1032" max="1032" width="19.25390625" style="163" customWidth="1"/>
    <col min="1033" max="1033" width="18.75390625" style="163" customWidth="1"/>
    <col min="1034" max="1034" width="16.00390625" style="163" customWidth="1"/>
    <col min="1035" max="1035" width="17.625" style="163" customWidth="1"/>
    <col min="1036" max="1036" width="17.25390625" style="163" customWidth="1"/>
    <col min="1037" max="1038" width="18.75390625" style="163" customWidth="1"/>
    <col min="1039" max="1039" width="15.875" style="163" customWidth="1"/>
    <col min="1040" max="1040" width="15.25390625" style="163" customWidth="1"/>
    <col min="1041" max="1041" width="16.75390625" style="163" customWidth="1"/>
    <col min="1042" max="1042" width="71.25390625" style="163" customWidth="1"/>
    <col min="1043" max="1046" width="62.00390625" style="163" customWidth="1"/>
    <col min="1047" max="1280" width="9.125" style="163" customWidth="1"/>
    <col min="1281" max="1281" width="56.375" style="163" customWidth="1"/>
    <col min="1282" max="1282" width="9.375" style="163" customWidth="1"/>
    <col min="1283" max="1283" width="18.75390625" style="163" customWidth="1"/>
    <col min="1284" max="1284" width="17.125" style="163" customWidth="1"/>
    <col min="1285" max="1285" width="14.00390625" style="163" customWidth="1"/>
    <col min="1286" max="1286" width="14.625" style="163" customWidth="1"/>
    <col min="1287" max="1287" width="16.125" style="163" customWidth="1"/>
    <col min="1288" max="1288" width="19.25390625" style="163" customWidth="1"/>
    <col min="1289" max="1289" width="18.75390625" style="163" customWidth="1"/>
    <col min="1290" max="1290" width="16.00390625" style="163" customWidth="1"/>
    <col min="1291" max="1291" width="17.625" style="163" customWidth="1"/>
    <col min="1292" max="1292" width="17.25390625" style="163" customWidth="1"/>
    <col min="1293" max="1294" width="18.75390625" style="163" customWidth="1"/>
    <col min="1295" max="1295" width="15.875" style="163" customWidth="1"/>
    <col min="1296" max="1296" width="15.25390625" style="163" customWidth="1"/>
    <col min="1297" max="1297" width="16.75390625" style="163" customWidth="1"/>
    <col min="1298" max="1298" width="71.25390625" style="163" customWidth="1"/>
    <col min="1299" max="1302" width="62.00390625" style="163" customWidth="1"/>
    <col min="1303" max="1536" width="9.125" style="163" customWidth="1"/>
    <col min="1537" max="1537" width="56.375" style="163" customWidth="1"/>
    <col min="1538" max="1538" width="9.375" style="163" customWidth="1"/>
    <col min="1539" max="1539" width="18.75390625" style="163" customWidth="1"/>
    <col min="1540" max="1540" width="17.125" style="163" customWidth="1"/>
    <col min="1541" max="1541" width="14.00390625" style="163" customWidth="1"/>
    <col min="1542" max="1542" width="14.625" style="163" customWidth="1"/>
    <col min="1543" max="1543" width="16.125" style="163" customWidth="1"/>
    <col min="1544" max="1544" width="19.25390625" style="163" customWidth="1"/>
    <col min="1545" max="1545" width="18.75390625" style="163" customWidth="1"/>
    <col min="1546" max="1546" width="16.00390625" style="163" customWidth="1"/>
    <col min="1547" max="1547" width="17.625" style="163" customWidth="1"/>
    <col min="1548" max="1548" width="17.25390625" style="163" customWidth="1"/>
    <col min="1549" max="1550" width="18.75390625" style="163" customWidth="1"/>
    <col min="1551" max="1551" width="15.875" style="163" customWidth="1"/>
    <col min="1552" max="1552" width="15.25390625" style="163" customWidth="1"/>
    <col min="1553" max="1553" width="16.75390625" style="163" customWidth="1"/>
    <col min="1554" max="1554" width="71.25390625" style="163" customWidth="1"/>
    <col min="1555" max="1558" width="62.00390625" style="163" customWidth="1"/>
    <col min="1559" max="1792" width="9.125" style="163" customWidth="1"/>
    <col min="1793" max="1793" width="56.375" style="163" customWidth="1"/>
    <col min="1794" max="1794" width="9.375" style="163" customWidth="1"/>
    <col min="1795" max="1795" width="18.75390625" style="163" customWidth="1"/>
    <col min="1796" max="1796" width="17.125" style="163" customWidth="1"/>
    <col min="1797" max="1797" width="14.00390625" style="163" customWidth="1"/>
    <col min="1798" max="1798" width="14.625" style="163" customWidth="1"/>
    <col min="1799" max="1799" width="16.125" style="163" customWidth="1"/>
    <col min="1800" max="1800" width="19.25390625" style="163" customWidth="1"/>
    <col min="1801" max="1801" width="18.75390625" style="163" customWidth="1"/>
    <col min="1802" max="1802" width="16.00390625" style="163" customWidth="1"/>
    <col min="1803" max="1803" width="17.625" style="163" customWidth="1"/>
    <col min="1804" max="1804" width="17.25390625" style="163" customWidth="1"/>
    <col min="1805" max="1806" width="18.75390625" style="163" customWidth="1"/>
    <col min="1807" max="1807" width="15.875" style="163" customWidth="1"/>
    <col min="1808" max="1808" width="15.25390625" style="163" customWidth="1"/>
    <col min="1809" max="1809" width="16.75390625" style="163" customWidth="1"/>
    <col min="1810" max="1810" width="71.25390625" style="163" customWidth="1"/>
    <col min="1811" max="1814" width="62.00390625" style="163" customWidth="1"/>
    <col min="1815" max="2048" width="9.125" style="163" customWidth="1"/>
    <col min="2049" max="2049" width="56.375" style="163" customWidth="1"/>
    <col min="2050" max="2050" width="9.375" style="163" customWidth="1"/>
    <col min="2051" max="2051" width="18.75390625" style="163" customWidth="1"/>
    <col min="2052" max="2052" width="17.125" style="163" customWidth="1"/>
    <col min="2053" max="2053" width="14.00390625" style="163" customWidth="1"/>
    <col min="2054" max="2054" width="14.625" style="163" customWidth="1"/>
    <col min="2055" max="2055" width="16.125" style="163" customWidth="1"/>
    <col min="2056" max="2056" width="19.25390625" style="163" customWidth="1"/>
    <col min="2057" max="2057" width="18.75390625" style="163" customWidth="1"/>
    <col min="2058" max="2058" width="16.00390625" style="163" customWidth="1"/>
    <col min="2059" max="2059" width="17.625" style="163" customWidth="1"/>
    <col min="2060" max="2060" width="17.25390625" style="163" customWidth="1"/>
    <col min="2061" max="2062" width="18.75390625" style="163" customWidth="1"/>
    <col min="2063" max="2063" width="15.875" style="163" customWidth="1"/>
    <col min="2064" max="2064" width="15.25390625" style="163" customWidth="1"/>
    <col min="2065" max="2065" width="16.75390625" style="163" customWidth="1"/>
    <col min="2066" max="2066" width="71.25390625" style="163" customWidth="1"/>
    <col min="2067" max="2070" width="62.00390625" style="163" customWidth="1"/>
    <col min="2071" max="2304" width="9.125" style="163" customWidth="1"/>
    <col min="2305" max="2305" width="56.375" style="163" customWidth="1"/>
    <col min="2306" max="2306" width="9.375" style="163" customWidth="1"/>
    <col min="2307" max="2307" width="18.75390625" style="163" customWidth="1"/>
    <col min="2308" max="2308" width="17.125" style="163" customWidth="1"/>
    <col min="2309" max="2309" width="14.00390625" style="163" customWidth="1"/>
    <col min="2310" max="2310" width="14.625" style="163" customWidth="1"/>
    <col min="2311" max="2311" width="16.125" style="163" customWidth="1"/>
    <col min="2312" max="2312" width="19.25390625" style="163" customWidth="1"/>
    <col min="2313" max="2313" width="18.75390625" style="163" customWidth="1"/>
    <col min="2314" max="2314" width="16.00390625" style="163" customWidth="1"/>
    <col min="2315" max="2315" width="17.625" style="163" customWidth="1"/>
    <col min="2316" max="2316" width="17.25390625" style="163" customWidth="1"/>
    <col min="2317" max="2318" width="18.75390625" style="163" customWidth="1"/>
    <col min="2319" max="2319" width="15.875" style="163" customWidth="1"/>
    <col min="2320" max="2320" width="15.25390625" style="163" customWidth="1"/>
    <col min="2321" max="2321" width="16.75390625" style="163" customWidth="1"/>
    <col min="2322" max="2322" width="71.25390625" style="163" customWidth="1"/>
    <col min="2323" max="2326" width="62.00390625" style="163" customWidth="1"/>
    <col min="2327" max="2560" width="9.125" style="163" customWidth="1"/>
    <col min="2561" max="2561" width="56.375" style="163" customWidth="1"/>
    <col min="2562" max="2562" width="9.375" style="163" customWidth="1"/>
    <col min="2563" max="2563" width="18.75390625" style="163" customWidth="1"/>
    <col min="2564" max="2564" width="17.125" style="163" customWidth="1"/>
    <col min="2565" max="2565" width="14.00390625" style="163" customWidth="1"/>
    <col min="2566" max="2566" width="14.625" style="163" customWidth="1"/>
    <col min="2567" max="2567" width="16.125" style="163" customWidth="1"/>
    <col min="2568" max="2568" width="19.25390625" style="163" customWidth="1"/>
    <col min="2569" max="2569" width="18.75390625" style="163" customWidth="1"/>
    <col min="2570" max="2570" width="16.00390625" style="163" customWidth="1"/>
    <col min="2571" max="2571" width="17.625" style="163" customWidth="1"/>
    <col min="2572" max="2572" width="17.25390625" style="163" customWidth="1"/>
    <col min="2573" max="2574" width="18.75390625" style="163" customWidth="1"/>
    <col min="2575" max="2575" width="15.875" style="163" customWidth="1"/>
    <col min="2576" max="2576" width="15.25390625" style="163" customWidth="1"/>
    <col min="2577" max="2577" width="16.75390625" style="163" customWidth="1"/>
    <col min="2578" max="2578" width="71.25390625" style="163" customWidth="1"/>
    <col min="2579" max="2582" width="62.00390625" style="163" customWidth="1"/>
    <col min="2583" max="2816" width="9.125" style="163" customWidth="1"/>
    <col min="2817" max="2817" width="56.375" style="163" customWidth="1"/>
    <col min="2818" max="2818" width="9.375" style="163" customWidth="1"/>
    <col min="2819" max="2819" width="18.75390625" style="163" customWidth="1"/>
    <col min="2820" max="2820" width="17.125" style="163" customWidth="1"/>
    <col min="2821" max="2821" width="14.00390625" style="163" customWidth="1"/>
    <col min="2822" max="2822" width="14.625" style="163" customWidth="1"/>
    <col min="2823" max="2823" width="16.125" style="163" customWidth="1"/>
    <col min="2824" max="2824" width="19.25390625" style="163" customWidth="1"/>
    <col min="2825" max="2825" width="18.75390625" style="163" customWidth="1"/>
    <col min="2826" max="2826" width="16.00390625" style="163" customWidth="1"/>
    <col min="2827" max="2827" width="17.625" style="163" customWidth="1"/>
    <col min="2828" max="2828" width="17.25390625" style="163" customWidth="1"/>
    <col min="2829" max="2830" width="18.75390625" style="163" customWidth="1"/>
    <col min="2831" max="2831" width="15.875" style="163" customWidth="1"/>
    <col min="2832" max="2832" width="15.25390625" style="163" customWidth="1"/>
    <col min="2833" max="2833" width="16.75390625" style="163" customWidth="1"/>
    <col min="2834" max="2834" width="71.25390625" style="163" customWidth="1"/>
    <col min="2835" max="2838" width="62.00390625" style="163" customWidth="1"/>
    <col min="2839" max="3072" width="9.125" style="163" customWidth="1"/>
    <col min="3073" max="3073" width="56.375" style="163" customWidth="1"/>
    <col min="3074" max="3074" width="9.375" style="163" customWidth="1"/>
    <col min="3075" max="3075" width="18.75390625" style="163" customWidth="1"/>
    <col min="3076" max="3076" width="17.125" style="163" customWidth="1"/>
    <col min="3077" max="3077" width="14.00390625" style="163" customWidth="1"/>
    <col min="3078" max="3078" width="14.625" style="163" customWidth="1"/>
    <col min="3079" max="3079" width="16.125" style="163" customWidth="1"/>
    <col min="3080" max="3080" width="19.25390625" style="163" customWidth="1"/>
    <col min="3081" max="3081" width="18.75390625" style="163" customWidth="1"/>
    <col min="3082" max="3082" width="16.00390625" style="163" customWidth="1"/>
    <col min="3083" max="3083" width="17.625" style="163" customWidth="1"/>
    <col min="3084" max="3084" width="17.25390625" style="163" customWidth="1"/>
    <col min="3085" max="3086" width="18.75390625" style="163" customWidth="1"/>
    <col min="3087" max="3087" width="15.875" style="163" customWidth="1"/>
    <col min="3088" max="3088" width="15.25390625" style="163" customWidth="1"/>
    <col min="3089" max="3089" width="16.75390625" style="163" customWidth="1"/>
    <col min="3090" max="3090" width="71.25390625" style="163" customWidth="1"/>
    <col min="3091" max="3094" width="62.00390625" style="163" customWidth="1"/>
    <col min="3095" max="3328" width="9.125" style="163" customWidth="1"/>
    <col min="3329" max="3329" width="56.375" style="163" customWidth="1"/>
    <col min="3330" max="3330" width="9.375" style="163" customWidth="1"/>
    <col min="3331" max="3331" width="18.75390625" style="163" customWidth="1"/>
    <col min="3332" max="3332" width="17.125" style="163" customWidth="1"/>
    <col min="3333" max="3333" width="14.00390625" style="163" customWidth="1"/>
    <col min="3334" max="3334" width="14.625" style="163" customWidth="1"/>
    <col min="3335" max="3335" width="16.125" style="163" customWidth="1"/>
    <col min="3336" max="3336" width="19.25390625" style="163" customWidth="1"/>
    <col min="3337" max="3337" width="18.75390625" style="163" customWidth="1"/>
    <col min="3338" max="3338" width="16.00390625" style="163" customWidth="1"/>
    <col min="3339" max="3339" width="17.625" style="163" customWidth="1"/>
    <col min="3340" max="3340" width="17.25390625" style="163" customWidth="1"/>
    <col min="3341" max="3342" width="18.75390625" style="163" customWidth="1"/>
    <col min="3343" max="3343" width="15.875" style="163" customWidth="1"/>
    <col min="3344" max="3344" width="15.25390625" style="163" customWidth="1"/>
    <col min="3345" max="3345" width="16.75390625" style="163" customWidth="1"/>
    <col min="3346" max="3346" width="71.25390625" style="163" customWidth="1"/>
    <col min="3347" max="3350" width="62.00390625" style="163" customWidth="1"/>
    <col min="3351" max="3584" width="9.125" style="163" customWidth="1"/>
    <col min="3585" max="3585" width="56.375" style="163" customWidth="1"/>
    <col min="3586" max="3586" width="9.375" style="163" customWidth="1"/>
    <col min="3587" max="3587" width="18.75390625" style="163" customWidth="1"/>
    <col min="3588" max="3588" width="17.125" style="163" customWidth="1"/>
    <col min="3589" max="3589" width="14.00390625" style="163" customWidth="1"/>
    <col min="3590" max="3590" width="14.625" style="163" customWidth="1"/>
    <col min="3591" max="3591" width="16.125" style="163" customWidth="1"/>
    <col min="3592" max="3592" width="19.25390625" style="163" customWidth="1"/>
    <col min="3593" max="3593" width="18.75390625" style="163" customWidth="1"/>
    <col min="3594" max="3594" width="16.00390625" style="163" customWidth="1"/>
    <col min="3595" max="3595" width="17.625" style="163" customWidth="1"/>
    <col min="3596" max="3596" width="17.25390625" style="163" customWidth="1"/>
    <col min="3597" max="3598" width="18.75390625" style="163" customWidth="1"/>
    <col min="3599" max="3599" width="15.875" style="163" customWidth="1"/>
    <col min="3600" max="3600" width="15.25390625" style="163" customWidth="1"/>
    <col min="3601" max="3601" width="16.75390625" style="163" customWidth="1"/>
    <col min="3602" max="3602" width="71.25390625" style="163" customWidth="1"/>
    <col min="3603" max="3606" width="62.00390625" style="163" customWidth="1"/>
    <col min="3607" max="3840" width="9.125" style="163" customWidth="1"/>
    <col min="3841" max="3841" width="56.375" style="163" customWidth="1"/>
    <col min="3842" max="3842" width="9.375" style="163" customWidth="1"/>
    <col min="3843" max="3843" width="18.75390625" style="163" customWidth="1"/>
    <col min="3844" max="3844" width="17.125" style="163" customWidth="1"/>
    <col min="3845" max="3845" width="14.00390625" style="163" customWidth="1"/>
    <col min="3846" max="3846" width="14.625" style="163" customWidth="1"/>
    <col min="3847" max="3847" width="16.125" style="163" customWidth="1"/>
    <col min="3848" max="3848" width="19.25390625" style="163" customWidth="1"/>
    <col min="3849" max="3849" width="18.75390625" style="163" customWidth="1"/>
    <col min="3850" max="3850" width="16.00390625" style="163" customWidth="1"/>
    <col min="3851" max="3851" width="17.625" style="163" customWidth="1"/>
    <col min="3852" max="3852" width="17.25390625" style="163" customWidth="1"/>
    <col min="3853" max="3854" width="18.75390625" style="163" customWidth="1"/>
    <col min="3855" max="3855" width="15.875" style="163" customWidth="1"/>
    <col min="3856" max="3856" width="15.25390625" style="163" customWidth="1"/>
    <col min="3857" max="3857" width="16.75390625" style="163" customWidth="1"/>
    <col min="3858" max="3858" width="71.25390625" style="163" customWidth="1"/>
    <col min="3859" max="3862" width="62.00390625" style="163" customWidth="1"/>
    <col min="3863" max="4096" width="9.125" style="163" customWidth="1"/>
    <col min="4097" max="4097" width="56.375" style="163" customWidth="1"/>
    <col min="4098" max="4098" width="9.375" style="163" customWidth="1"/>
    <col min="4099" max="4099" width="18.75390625" style="163" customWidth="1"/>
    <col min="4100" max="4100" width="17.125" style="163" customWidth="1"/>
    <col min="4101" max="4101" width="14.00390625" style="163" customWidth="1"/>
    <col min="4102" max="4102" width="14.625" style="163" customWidth="1"/>
    <col min="4103" max="4103" width="16.125" style="163" customWidth="1"/>
    <col min="4104" max="4104" width="19.25390625" style="163" customWidth="1"/>
    <col min="4105" max="4105" width="18.75390625" style="163" customWidth="1"/>
    <col min="4106" max="4106" width="16.00390625" style="163" customWidth="1"/>
    <col min="4107" max="4107" width="17.625" style="163" customWidth="1"/>
    <col min="4108" max="4108" width="17.25390625" style="163" customWidth="1"/>
    <col min="4109" max="4110" width="18.75390625" style="163" customWidth="1"/>
    <col min="4111" max="4111" width="15.875" style="163" customWidth="1"/>
    <col min="4112" max="4112" width="15.25390625" style="163" customWidth="1"/>
    <col min="4113" max="4113" width="16.75390625" style="163" customWidth="1"/>
    <col min="4114" max="4114" width="71.25390625" style="163" customWidth="1"/>
    <col min="4115" max="4118" width="62.00390625" style="163" customWidth="1"/>
    <col min="4119" max="4352" width="9.125" style="163" customWidth="1"/>
    <col min="4353" max="4353" width="56.375" style="163" customWidth="1"/>
    <col min="4354" max="4354" width="9.375" style="163" customWidth="1"/>
    <col min="4355" max="4355" width="18.75390625" style="163" customWidth="1"/>
    <col min="4356" max="4356" width="17.125" style="163" customWidth="1"/>
    <col min="4357" max="4357" width="14.00390625" style="163" customWidth="1"/>
    <col min="4358" max="4358" width="14.625" style="163" customWidth="1"/>
    <col min="4359" max="4359" width="16.125" style="163" customWidth="1"/>
    <col min="4360" max="4360" width="19.25390625" style="163" customWidth="1"/>
    <col min="4361" max="4361" width="18.75390625" style="163" customWidth="1"/>
    <col min="4362" max="4362" width="16.00390625" style="163" customWidth="1"/>
    <col min="4363" max="4363" width="17.625" style="163" customWidth="1"/>
    <col min="4364" max="4364" width="17.25390625" style="163" customWidth="1"/>
    <col min="4365" max="4366" width="18.75390625" style="163" customWidth="1"/>
    <col min="4367" max="4367" width="15.875" style="163" customWidth="1"/>
    <col min="4368" max="4368" width="15.25390625" style="163" customWidth="1"/>
    <col min="4369" max="4369" width="16.75390625" style="163" customWidth="1"/>
    <col min="4370" max="4370" width="71.25390625" style="163" customWidth="1"/>
    <col min="4371" max="4374" width="62.00390625" style="163" customWidth="1"/>
    <col min="4375" max="4608" width="9.125" style="163" customWidth="1"/>
    <col min="4609" max="4609" width="56.375" style="163" customWidth="1"/>
    <col min="4610" max="4610" width="9.375" style="163" customWidth="1"/>
    <col min="4611" max="4611" width="18.75390625" style="163" customWidth="1"/>
    <col min="4612" max="4612" width="17.125" style="163" customWidth="1"/>
    <col min="4613" max="4613" width="14.00390625" style="163" customWidth="1"/>
    <col min="4614" max="4614" width="14.625" style="163" customWidth="1"/>
    <col min="4615" max="4615" width="16.125" style="163" customWidth="1"/>
    <col min="4616" max="4616" width="19.25390625" style="163" customWidth="1"/>
    <col min="4617" max="4617" width="18.75390625" style="163" customWidth="1"/>
    <col min="4618" max="4618" width="16.00390625" style="163" customWidth="1"/>
    <col min="4619" max="4619" width="17.625" style="163" customWidth="1"/>
    <col min="4620" max="4620" width="17.25390625" style="163" customWidth="1"/>
    <col min="4621" max="4622" width="18.75390625" style="163" customWidth="1"/>
    <col min="4623" max="4623" width="15.875" style="163" customWidth="1"/>
    <col min="4624" max="4624" width="15.25390625" style="163" customWidth="1"/>
    <col min="4625" max="4625" width="16.75390625" style="163" customWidth="1"/>
    <col min="4626" max="4626" width="71.25390625" style="163" customWidth="1"/>
    <col min="4627" max="4630" width="62.00390625" style="163" customWidth="1"/>
    <col min="4631" max="4864" width="9.125" style="163" customWidth="1"/>
    <col min="4865" max="4865" width="56.375" style="163" customWidth="1"/>
    <col min="4866" max="4866" width="9.375" style="163" customWidth="1"/>
    <col min="4867" max="4867" width="18.75390625" style="163" customWidth="1"/>
    <col min="4868" max="4868" width="17.125" style="163" customWidth="1"/>
    <col min="4869" max="4869" width="14.00390625" style="163" customWidth="1"/>
    <col min="4870" max="4870" width="14.625" style="163" customWidth="1"/>
    <col min="4871" max="4871" width="16.125" style="163" customWidth="1"/>
    <col min="4872" max="4872" width="19.25390625" style="163" customWidth="1"/>
    <col min="4873" max="4873" width="18.75390625" style="163" customWidth="1"/>
    <col min="4874" max="4874" width="16.00390625" style="163" customWidth="1"/>
    <col min="4875" max="4875" width="17.625" style="163" customWidth="1"/>
    <col min="4876" max="4876" width="17.25390625" style="163" customWidth="1"/>
    <col min="4877" max="4878" width="18.75390625" style="163" customWidth="1"/>
    <col min="4879" max="4879" width="15.875" style="163" customWidth="1"/>
    <col min="4880" max="4880" width="15.25390625" style="163" customWidth="1"/>
    <col min="4881" max="4881" width="16.75390625" style="163" customWidth="1"/>
    <col min="4882" max="4882" width="71.25390625" style="163" customWidth="1"/>
    <col min="4883" max="4886" width="62.00390625" style="163" customWidth="1"/>
    <col min="4887" max="5120" width="9.125" style="163" customWidth="1"/>
    <col min="5121" max="5121" width="56.375" style="163" customWidth="1"/>
    <col min="5122" max="5122" width="9.375" style="163" customWidth="1"/>
    <col min="5123" max="5123" width="18.75390625" style="163" customWidth="1"/>
    <col min="5124" max="5124" width="17.125" style="163" customWidth="1"/>
    <col min="5125" max="5125" width="14.00390625" style="163" customWidth="1"/>
    <col min="5126" max="5126" width="14.625" style="163" customWidth="1"/>
    <col min="5127" max="5127" width="16.125" style="163" customWidth="1"/>
    <col min="5128" max="5128" width="19.25390625" style="163" customWidth="1"/>
    <col min="5129" max="5129" width="18.75390625" style="163" customWidth="1"/>
    <col min="5130" max="5130" width="16.00390625" style="163" customWidth="1"/>
    <col min="5131" max="5131" width="17.625" style="163" customWidth="1"/>
    <col min="5132" max="5132" width="17.25390625" style="163" customWidth="1"/>
    <col min="5133" max="5134" width="18.75390625" style="163" customWidth="1"/>
    <col min="5135" max="5135" width="15.875" style="163" customWidth="1"/>
    <col min="5136" max="5136" width="15.25390625" style="163" customWidth="1"/>
    <col min="5137" max="5137" width="16.75390625" style="163" customWidth="1"/>
    <col min="5138" max="5138" width="71.25390625" style="163" customWidth="1"/>
    <col min="5139" max="5142" width="62.00390625" style="163" customWidth="1"/>
    <col min="5143" max="5376" width="9.125" style="163" customWidth="1"/>
    <col min="5377" max="5377" width="56.375" style="163" customWidth="1"/>
    <col min="5378" max="5378" width="9.375" style="163" customWidth="1"/>
    <col min="5379" max="5379" width="18.75390625" style="163" customWidth="1"/>
    <col min="5380" max="5380" width="17.125" style="163" customWidth="1"/>
    <col min="5381" max="5381" width="14.00390625" style="163" customWidth="1"/>
    <col min="5382" max="5382" width="14.625" style="163" customWidth="1"/>
    <col min="5383" max="5383" width="16.125" style="163" customWidth="1"/>
    <col min="5384" max="5384" width="19.25390625" style="163" customWidth="1"/>
    <col min="5385" max="5385" width="18.75390625" style="163" customWidth="1"/>
    <col min="5386" max="5386" width="16.00390625" style="163" customWidth="1"/>
    <col min="5387" max="5387" width="17.625" style="163" customWidth="1"/>
    <col min="5388" max="5388" width="17.25390625" style="163" customWidth="1"/>
    <col min="5389" max="5390" width="18.75390625" style="163" customWidth="1"/>
    <col min="5391" max="5391" width="15.875" style="163" customWidth="1"/>
    <col min="5392" max="5392" width="15.25390625" style="163" customWidth="1"/>
    <col min="5393" max="5393" width="16.75390625" style="163" customWidth="1"/>
    <col min="5394" max="5394" width="71.25390625" style="163" customWidth="1"/>
    <col min="5395" max="5398" width="62.00390625" style="163" customWidth="1"/>
    <col min="5399" max="5632" width="9.125" style="163" customWidth="1"/>
    <col min="5633" max="5633" width="56.375" style="163" customWidth="1"/>
    <col min="5634" max="5634" width="9.375" style="163" customWidth="1"/>
    <col min="5635" max="5635" width="18.75390625" style="163" customWidth="1"/>
    <col min="5636" max="5636" width="17.125" style="163" customWidth="1"/>
    <col min="5637" max="5637" width="14.00390625" style="163" customWidth="1"/>
    <col min="5638" max="5638" width="14.625" style="163" customWidth="1"/>
    <col min="5639" max="5639" width="16.125" style="163" customWidth="1"/>
    <col min="5640" max="5640" width="19.25390625" style="163" customWidth="1"/>
    <col min="5641" max="5641" width="18.75390625" style="163" customWidth="1"/>
    <col min="5642" max="5642" width="16.00390625" style="163" customWidth="1"/>
    <col min="5643" max="5643" width="17.625" style="163" customWidth="1"/>
    <col min="5644" max="5644" width="17.25390625" style="163" customWidth="1"/>
    <col min="5645" max="5646" width="18.75390625" style="163" customWidth="1"/>
    <col min="5647" max="5647" width="15.875" style="163" customWidth="1"/>
    <col min="5648" max="5648" width="15.25390625" style="163" customWidth="1"/>
    <col min="5649" max="5649" width="16.75390625" style="163" customWidth="1"/>
    <col min="5650" max="5650" width="71.25390625" style="163" customWidth="1"/>
    <col min="5651" max="5654" width="62.00390625" style="163" customWidth="1"/>
    <col min="5655" max="5888" width="9.125" style="163" customWidth="1"/>
    <col min="5889" max="5889" width="56.375" style="163" customWidth="1"/>
    <col min="5890" max="5890" width="9.375" style="163" customWidth="1"/>
    <col min="5891" max="5891" width="18.75390625" style="163" customWidth="1"/>
    <col min="5892" max="5892" width="17.125" style="163" customWidth="1"/>
    <col min="5893" max="5893" width="14.00390625" style="163" customWidth="1"/>
    <col min="5894" max="5894" width="14.625" style="163" customWidth="1"/>
    <col min="5895" max="5895" width="16.125" style="163" customWidth="1"/>
    <col min="5896" max="5896" width="19.25390625" style="163" customWidth="1"/>
    <col min="5897" max="5897" width="18.75390625" style="163" customWidth="1"/>
    <col min="5898" max="5898" width="16.00390625" style="163" customWidth="1"/>
    <col min="5899" max="5899" width="17.625" style="163" customWidth="1"/>
    <col min="5900" max="5900" width="17.25390625" style="163" customWidth="1"/>
    <col min="5901" max="5902" width="18.75390625" style="163" customWidth="1"/>
    <col min="5903" max="5903" width="15.875" style="163" customWidth="1"/>
    <col min="5904" max="5904" width="15.25390625" style="163" customWidth="1"/>
    <col min="5905" max="5905" width="16.75390625" style="163" customWidth="1"/>
    <col min="5906" max="5906" width="71.25390625" style="163" customWidth="1"/>
    <col min="5907" max="5910" width="62.00390625" style="163" customWidth="1"/>
    <col min="5911" max="6144" width="9.125" style="163" customWidth="1"/>
    <col min="6145" max="6145" width="56.375" style="163" customWidth="1"/>
    <col min="6146" max="6146" width="9.375" style="163" customWidth="1"/>
    <col min="6147" max="6147" width="18.75390625" style="163" customWidth="1"/>
    <col min="6148" max="6148" width="17.125" style="163" customWidth="1"/>
    <col min="6149" max="6149" width="14.00390625" style="163" customWidth="1"/>
    <col min="6150" max="6150" width="14.625" style="163" customWidth="1"/>
    <col min="6151" max="6151" width="16.125" style="163" customWidth="1"/>
    <col min="6152" max="6152" width="19.25390625" style="163" customWidth="1"/>
    <col min="6153" max="6153" width="18.75390625" style="163" customWidth="1"/>
    <col min="6154" max="6154" width="16.00390625" style="163" customWidth="1"/>
    <col min="6155" max="6155" width="17.625" style="163" customWidth="1"/>
    <col min="6156" max="6156" width="17.25390625" style="163" customWidth="1"/>
    <col min="6157" max="6158" width="18.75390625" style="163" customWidth="1"/>
    <col min="6159" max="6159" width="15.875" style="163" customWidth="1"/>
    <col min="6160" max="6160" width="15.25390625" style="163" customWidth="1"/>
    <col min="6161" max="6161" width="16.75390625" style="163" customWidth="1"/>
    <col min="6162" max="6162" width="71.25390625" style="163" customWidth="1"/>
    <col min="6163" max="6166" width="62.00390625" style="163" customWidth="1"/>
    <col min="6167" max="6400" width="9.125" style="163" customWidth="1"/>
    <col min="6401" max="6401" width="56.375" style="163" customWidth="1"/>
    <col min="6402" max="6402" width="9.375" style="163" customWidth="1"/>
    <col min="6403" max="6403" width="18.75390625" style="163" customWidth="1"/>
    <col min="6404" max="6404" width="17.125" style="163" customWidth="1"/>
    <col min="6405" max="6405" width="14.00390625" style="163" customWidth="1"/>
    <col min="6406" max="6406" width="14.625" style="163" customWidth="1"/>
    <col min="6407" max="6407" width="16.125" style="163" customWidth="1"/>
    <col min="6408" max="6408" width="19.25390625" style="163" customWidth="1"/>
    <col min="6409" max="6409" width="18.75390625" style="163" customWidth="1"/>
    <col min="6410" max="6410" width="16.00390625" style="163" customWidth="1"/>
    <col min="6411" max="6411" width="17.625" style="163" customWidth="1"/>
    <col min="6412" max="6412" width="17.25390625" style="163" customWidth="1"/>
    <col min="6413" max="6414" width="18.75390625" style="163" customWidth="1"/>
    <col min="6415" max="6415" width="15.875" style="163" customWidth="1"/>
    <col min="6416" max="6416" width="15.25390625" style="163" customWidth="1"/>
    <col min="6417" max="6417" width="16.75390625" style="163" customWidth="1"/>
    <col min="6418" max="6418" width="71.25390625" style="163" customWidth="1"/>
    <col min="6419" max="6422" width="62.00390625" style="163" customWidth="1"/>
    <col min="6423" max="6656" width="9.125" style="163" customWidth="1"/>
    <col min="6657" max="6657" width="56.375" style="163" customWidth="1"/>
    <col min="6658" max="6658" width="9.375" style="163" customWidth="1"/>
    <col min="6659" max="6659" width="18.75390625" style="163" customWidth="1"/>
    <col min="6660" max="6660" width="17.125" style="163" customWidth="1"/>
    <col min="6661" max="6661" width="14.00390625" style="163" customWidth="1"/>
    <col min="6662" max="6662" width="14.625" style="163" customWidth="1"/>
    <col min="6663" max="6663" width="16.125" style="163" customWidth="1"/>
    <col min="6664" max="6664" width="19.25390625" style="163" customWidth="1"/>
    <col min="6665" max="6665" width="18.75390625" style="163" customWidth="1"/>
    <col min="6666" max="6666" width="16.00390625" style="163" customWidth="1"/>
    <col min="6667" max="6667" width="17.625" style="163" customWidth="1"/>
    <col min="6668" max="6668" width="17.25390625" style="163" customWidth="1"/>
    <col min="6669" max="6670" width="18.75390625" style="163" customWidth="1"/>
    <col min="6671" max="6671" width="15.875" style="163" customWidth="1"/>
    <col min="6672" max="6672" width="15.25390625" style="163" customWidth="1"/>
    <col min="6673" max="6673" width="16.75390625" style="163" customWidth="1"/>
    <col min="6674" max="6674" width="71.25390625" style="163" customWidth="1"/>
    <col min="6675" max="6678" width="62.00390625" style="163" customWidth="1"/>
    <col min="6679" max="6912" width="9.125" style="163" customWidth="1"/>
    <col min="6913" max="6913" width="56.375" style="163" customWidth="1"/>
    <col min="6914" max="6914" width="9.375" style="163" customWidth="1"/>
    <col min="6915" max="6915" width="18.75390625" style="163" customWidth="1"/>
    <col min="6916" max="6916" width="17.125" style="163" customWidth="1"/>
    <col min="6917" max="6917" width="14.00390625" style="163" customWidth="1"/>
    <col min="6918" max="6918" width="14.625" style="163" customWidth="1"/>
    <col min="6919" max="6919" width="16.125" style="163" customWidth="1"/>
    <col min="6920" max="6920" width="19.25390625" style="163" customWidth="1"/>
    <col min="6921" max="6921" width="18.75390625" style="163" customWidth="1"/>
    <col min="6922" max="6922" width="16.00390625" style="163" customWidth="1"/>
    <col min="6923" max="6923" width="17.625" style="163" customWidth="1"/>
    <col min="6924" max="6924" width="17.25390625" style="163" customWidth="1"/>
    <col min="6925" max="6926" width="18.75390625" style="163" customWidth="1"/>
    <col min="6927" max="6927" width="15.875" style="163" customWidth="1"/>
    <col min="6928" max="6928" width="15.25390625" style="163" customWidth="1"/>
    <col min="6929" max="6929" width="16.75390625" style="163" customWidth="1"/>
    <col min="6930" max="6930" width="71.25390625" style="163" customWidth="1"/>
    <col min="6931" max="6934" width="62.00390625" style="163" customWidth="1"/>
    <col min="6935" max="7168" width="9.125" style="163" customWidth="1"/>
    <col min="7169" max="7169" width="56.375" style="163" customWidth="1"/>
    <col min="7170" max="7170" width="9.375" style="163" customWidth="1"/>
    <col min="7171" max="7171" width="18.75390625" style="163" customWidth="1"/>
    <col min="7172" max="7172" width="17.125" style="163" customWidth="1"/>
    <col min="7173" max="7173" width="14.00390625" style="163" customWidth="1"/>
    <col min="7174" max="7174" width="14.625" style="163" customWidth="1"/>
    <col min="7175" max="7175" width="16.125" style="163" customWidth="1"/>
    <col min="7176" max="7176" width="19.25390625" style="163" customWidth="1"/>
    <col min="7177" max="7177" width="18.75390625" style="163" customWidth="1"/>
    <col min="7178" max="7178" width="16.00390625" style="163" customWidth="1"/>
    <col min="7179" max="7179" width="17.625" style="163" customWidth="1"/>
    <col min="7180" max="7180" width="17.25390625" style="163" customWidth="1"/>
    <col min="7181" max="7182" width="18.75390625" style="163" customWidth="1"/>
    <col min="7183" max="7183" width="15.875" style="163" customWidth="1"/>
    <col min="7184" max="7184" width="15.25390625" style="163" customWidth="1"/>
    <col min="7185" max="7185" width="16.75390625" style="163" customWidth="1"/>
    <col min="7186" max="7186" width="71.25390625" style="163" customWidth="1"/>
    <col min="7187" max="7190" width="62.00390625" style="163" customWidth="1"/>
    <col min="7191" max="7424" width="9.125" style="163" customWidth="1"/>
    <col min="7425" max="7425" width="56.375" style="163" customWidth="1"/>
    <col min="7426" max="7426" width="9.375" style="163" customWidth="1"/>
    <col min="7427" max="7427" width="18.75390625" style="163" customWidth="1"/>
    <col min="7428" max="7428" width="17.125" style="163" customWidth="1"/>
    <col min="7429" max="7429" width="14.00390625" style="163" customWidth="1"/>
    <col min="7430" max="7430" width="14.625" style="163" customWidth="1"/>
    <col min="7431" max="7431" width="16.125" style="163" customWidth="1"/>
    <col min="7432" max="7432" width="19.25390625" style="163" customWidth="1"/>
    <col min="7433" max="7433" width="18.75390625" style="163" customWidth="1"/>
    <col min="7434" max="7434" width="16.00390625" style="163" customWidth="1"/>
    <col min="7435" max="7435" width="17.625" style="163" customWidth="1"/>
    <col min="7436" max="7436" width="17.25390625" style="163" customWidth="1"/>
    <col min="7437" max="7438" width="18.75390625" style="163" customWidth="1"/>
    <col min="7439" max="7439" width="15.875" style="163" customWidth="1"/>
    <col min="7440" max="7440" width="15.25390625" style="163" customWidth="1"/>
    <col min="7441" max="7441" width="16.75390625" style="163" customWidth="1"/>
    <col min="7442" max="7442" width="71.25390625" style="163" customWidth="1"/>
    <col min="7443" max="7446" width="62.00390625" style="163" customWidth="1"/>
    <col min="7447" max="7680" width="9.125" style="163" customWidth="1"/>
    <col min="7681" max="7681" width="56.375" style="163" customWidth="1"/>
    <col min="7682" max="7682" width="9.375" style="163" customWidth="1"/>
    <col min="7683" max="7683" width="18.75390625" style="163" customWidth="1"/>
    <col min="7684" max="7684" width="17.125" style="163" customWidth="1"/>
    <col min="7685" max="7685" width="14.00390625" style="163" customWidth="1"/>
    <col min="7686" max="7686" width="14.625" style="163" customWidth="1"/>
    <col min="7687" max="7687" width="16.125" style="163" customWidth="1"/>
    <col min="7688" max="7688" width="19.25390625" style="163" customWidth="1"/>
    <col min="7689" max="7689" width="18.75390625" style="163" customWidth="1"/>
    <col min="7690" max="7690" width="16.00390625" style="163" customWidth="1"/>
    <col min="7691" max="7691" width="17.625" style="163" customWidth="1"/>
    <col min="7692" max="7692" width="17.25390625" style="163" customWidth="1"/>
    <col min="7693" max="7694" width="18.75390625" style="163" customWidth="1"/>
    <col min="7695" max="7695" width="15.875" style="163" customWidth="1"/>
    <col min="7696" max="7696" width="15.25390625" style="163" customWidth="1"/>
    <col min="7697" max="7697" width="16.75390625" style="163" customWidth="1"/>
    <col min="7698" max="7698" width="71.25390625" style="163" customWidth="1"/>
    <col min="7699" max="7702" width="62.00390625" style="163" customWidth="1"/>
    <col min="7703" max="7936" width="9.125" style="163" customWidth="1"/>
    <col min="7937" max="7937" width="56.375" style="163" customWidth="1"/>
    <col min="7938" max="7938" width="9.375" style="163" customWidth="1"/>
    <col min="7939" max="7939" width="18.75390625" style="163" customWidth="1"/>
    <col min="7940" max="7940" width="17.125" style="163" customWidth="1"/>
    <col min="7941" max="7941" width="14.00390625" style="163" customWidth="1"/>
    <col min="7942" max="7942" width="14.625" style="163" customWidth="1"/>
    <col min="7943" max="7943" width="16.125" style="163" customWidth="1"/>
    <col min="7944" max="7944" width="19.25390625" style="163" customWidth="1"/>
    <col min="7945" max="7945" width="18.75390625" style="163" customWidth="1"/>
    <col min="7946" max="7946" width="16.00390625" style="163" customWidth="1"/>
    <col min="7947" max="7947" width="17.625" style="163" customWidth="1"/>
    <col min="7948" max="7948" width="17.25390625" style="163" customWidth="1"/>
    <col min="7949" max="7950" width="18.75390625" style="163" customWidth="1"/>
    <col min="7951" max="7951" width="15.875" style="163" customWidth="1"/>
    <col min="7952" max="7952" width="15.25390625" style="163" customWidth="1"/>
    <col min="7953" max="7953" width="16.75390625" style="163" customWidth="1"/>
    <col min="7954" max="7954" width="71.25390625" style="163" customWidth="1"/>
    <col min="7955" max="7958" width="62.00390625" style="163" customWidth="1"/>
    <col min="7959" max="8192" width="9.125" style="163" customWidth="1"/>
    <col min="8193" max="8193" width="56.375" style="163" customWidth="1"/>
    <col min="8194" max="8194" width="9.375" style="163" customWidth="1"/>
    <col min="8195" max="8195" width="18.75390625" style="163" customWidth="1"/>
    <col min="8196" max="8196" width="17.125" style="163" customWidth="1"/>
    <col min="8197" max="8197" width="14.00390625" style="163" customWidth="1"/>
    <col min="8198" max="8198" width="14.625" style="163" customWidth="1"/>
    <col min="8199" max="8199" width="16.125" style="163" customWidth="1"/>
    <col min="8200" max="8200" width="19.25390625" style="163" customWidth="1"/>
    <col min="8201" max="8201" width="18.75390625" style="163" customWidth="1"/>
    <col min="8202" max="8202" width="16.00390625" style="163" customWidth="1"/>
    <col min="8203" max="8203" width="17.625" style="163" customWidth="1"/>
    <col min="8204" max="8204" width="17.25390625" style="163" customWidth="1"/>
    <col min="8205" max="8206" width="18.75390625" style="163" customWidth="1"/>
    <col min="8207" max="8207" width="15.875" style="163" customWidth="1"/>
    <col min="8208" max="8208" width="15.25390625" style="163" customWidth="1"/>
    <col min="8209" max="8209" width="16.75390625" style="163" customWidth="1"/>
    <col min="8210" max="8210" width="71.25390625" style="163" customWidth="1"/>
    <col min="8211" max="8214" width="62.00390625" style="163" customWidth="1"/>
    <col min="8215" max="8448" width="9.125" style="163" customWidth="1"/>
    <col min="8449" max="8449" width="56.375" style="163" customWidth="1"/>
    <col min="8450" max="8450" width="9.375" style="163" customWidth="1"/>
    <col min="8451" max="8451" width="18.75390625" style="163" customWidth="1"/>
    <col min="8452" max="8452" width="17.125" style="163" customWidth="1"/>
    <col min="8453" max="8453" width="14.00390625" style="163" customWidth="1"/>
    <col min="8454" max="8454" width="14.625" style="163" customWidth="1"/>
    <col min="8455" max="8455" width="16.125" style="163" customWidth="1"/>
    <col min="8456" max="8456" width="19.25390625" style="163" customWidth="1"/>
    <col min="8457" max="8457" width="18.75390625" style="163" customWidth="1"/>
    <col min="8458" max="8458" width="16.00390625" style="163" customWidth="1"/>
    <col min="8459" max="8459" width="17.625" style="163" customWidth="1"/>
    <col min="8460" max="8460" width="17.25390625" style="163" customWidth="1"/>
    <col min="8461" max="8462" width="18.75390625" style="163" customWidth="1"/>
    <col min="8463" max="8463" width="15.875" style="163" customWidth="1"/>
    <col min="8464" max="8464" width="15.25390625" style="163" customWidth="1"/>
    <col min="8465" max="8465" width="16.75390625" style="163" customWidth="1"/>
    <col min="8466" max="8466" width="71.25390625" style="163" customWidth="1"/>
    <col min="8467" max="8470" width="62.00390625" style="163" customWidth="1"/>
    <col min="8471" max="8704" width="9.125" style="163" customWidth="1"/>
    <col min="8705" max="8705" width="56.375" style="163" customWidth="1"/>
    <col min="8706" max="8706" width="9.375" style="163" customWidth="1"/>
    <col min="8707" max="8707" width="18.75390625" style="163" customWidth="1"/>
    <col min="8708" max="8708" width="17.125" style="163" customWidth="1"/>
    <col min="8709" max="8709" width="14.00390625" style="163" customWidth="1"/>
    <col min="8710" max="8710" width="14.625" style="163" customWidth="1"/>
    <col min="8711" max="8711" width="16.125" style="163" customWidth="1"/>
    <col min="8712" max="8712" width="19.25390625" style="163" customWidth="1"/>
    <col min="8713" max="8713" width="18.75390625" style="163" customWidth="1"/>
    <col min="8714" max="8714" width="16.00390625" style="163" customWidth="1"/>
    <col min="8715" max="8715" width="17.625" style="163" customWidth="1"/>
    <col min="8716" max="8716" width="17.25390625" style="163" customWidth="1"/>
    <col min="8717" max="8718" width="18.75390625" style="163" customWidth="1"/>
    <col min="8719" max="8719" width="15.875" style="163" customWidth="1"/>
    <col min="8720" max="8720" width="15.25390625" style="163" customWidth="1"/>
    <col min="8721" max="8721" width="16.75390625" style="163" customWidth="1"/>
    <col min="8722" max="8722" width="71.25390625" style="163" customWidth="1"/>
    <col min="8723" max="8726" width="62.00390625" style="163" customWidth="1"/>
    <col min="8727" max="8960" width="9.125" style="163" customWidth="1"/>
    <col min="8961" max="8961" width="56.375" style="163" customWidth="1"/>
    <col min="8962" max="8962" width="9.375" style="163" customWidth="1"/>
    <col min="8963" max="8963" width="18.75390625" style="163" customWidth="1"/>
    <col min="8964" max="8964" width="17.125" style="163" customWidth="1"/>
    <col min="8965" max="8965" width="14.00390625" style="163" customWidth="1"/>
    <col min="8966" max="8966" width="14.625" style="163" customWidth="1"/>
    <col min="8967" max="8967" width="16.125" style="163" customWidth="1"/>
    <col min="8968" max="8968" width="19.25390625" style="163" customWidth="1"/>
    <col min="8969" max="8969" width="18.75390625" style="163" customWidth="1"/>
    <col min="8970" max="8970" width="16.00390625" style="163" customWidth="1"/>
    <col min="8971" max="8971" width="17.625" style="163" customWidth="1"/>
    <col min="8972" max="8972" width="17.25390625" style="163" customWidth="1"/>
    <col min="8973" max="8974" width="18.75390625" style="163" customWidth="1"/>
    <col min="8975" max="8975" width="15.875" style="163" customWidth="1"/>
    <col min="8976" max="8976" width="15.25390625" style="163" customWidth="1"/>
    <col min="8977" max="8977" width="16.75390625" style="163" customWidth="1"/>
    <col min="8978" max="8978" width="71.25390625" style="163" customWidth="1"/>
    <col min="8979" max="8982" width="62.00390625" style="163" customWidth="1"/>
    <col min="8983" max="9216" width="9.125" style="163" customWidth="1"/>
    <col min="9217" max="9217" width="56.375" style="163" customWidth="1"/>
    <col min="9218" max="9218" width="9.375" style="163" customWidth="1"/>
    <col min="9219" max="9219" width="18.75390625" style="163" customWidth="1"/>
    <col min="9220" max="9220" width="17.125" style="163" customWidth="1"/>
    <col min="9221" max="9221" width="14.00390625" style="163" customWidth="1"/>
    <col min="9222" max="9222" width="14.625" style="163" customWidth="1"/>
    <col min="9223" max="9223" width="16.125" style="163" customWidth="1"/>
    <col min="9224" max="9224" width="19.25390625" style="163" customWidth="1"/>
    <col min="9225" max="9225" width="18.75390625" style="163" customWidth="1"/>
    <col min="9226" max="9226" width="16.00390625" style="163" customWidth="1"/>
    <col min="9227" max="9227" width="17.625" style="163" customWidth="1"/>
    <col min="9228" max="9228" width="17.25390625" style="163" customWidth="1"/>
    <col min="9229" max="9230" width="18.75390625" style="163" customWidth="1"/>
    <col min="9231" max="9231" width="15.875" style="163" customWidth="1"/>
    <col min="9232" max="9232" width="15.25390625" style="163" customWidth="1"/>
    <col min="9233" max="9233" width="16.75390625" style="163" customWidth="1"/>
    <col min="9234" max="9234" width="71.25390625" style="163" customWidth="1"/>
    <col min="9235" max="9238" width="62.00390625" style="163" customWidth="1"/>
    <col min="9239" max="9472" width="9.125" style="163" customWidth="1"/>
    <col min="9473" max="9473" width="56.375" style="163" customWidth="1"/>
    <col min="9474" max="9474" width="9.375" style="163" customWidth="1"/>
    <col min="9475" max="9475" width="18.75390625" style="163" customWidth="1"/>
    <col min="9476" max="9476" width="17.125" style="163" customWidth="1"/>
    <col min="9477" max="9477" width="14.00390625" style="163" customWidth="1"/>
    <col min="9478" max="9478" width="14.625" style="163" customWidth="1"/>
    <col min="9479" max="9479" width="16.125" style="163" customWidth="1"/>
    <col min="9480" max="9480" width="19.25390625" style="163" customWidth="1"/>
    <col min="9481" max="9481" width="18.75390625" style="163" customWidth="1"/>
    <col min="9482" max="9482" width="16.00390625" style="163" customWidth="1"/>
    <col min="9483" max="9483" width="17.625" style="163" customWidth="1"/>
    <col min="9484" max="9484" width="17.25390625" style="163" customWidth="1"/>
    <col min="9485" max="9486" width="18.75390625" style="163" customWidth="1"/>
    <col min="9487" max="9487" width="15.875" style="163" customWidth="1"/>
    <col min="9488" max="9488" width="15.25390625" style="163" customWidth="1"/>
    <col min="9489" max="9489" width="16.75390625" style="163" customWidth="1"/>
    <col min="9490" max="9490" width="71.25390625" style="163" customWidth="1"/>
    <col min="9491" max="9494" width="62.00390625" style="163" customWidth="1"/>
    <col min="9495" max="9728" width="9.125" style="163" customWidth="1"/>
    <col min="9729" max="9729" width="56.375" style="163" customWidth="1"/>
    <col min="9730" max="9730" width="9.375" style="163" customWidth="1"/>
    <col min="9731" max="9731" width="18.75390625" style="163" customWidth="1"/>
    <col min="9732" max="9732" width="17.125" style="163" customWidth="1"/>
    <col min="9733" max="9733" width="14.00390625" style="163" customWidth="1"/>
    <col min="9734" max="9734" width="14.625" style="163" customWidth="1"/>
    <col min="9735" max="9735" width="16.125" style="163" customWidth="1"/>
    <col min="9736" max="9736" width="19.25390625" style="163" customWidth="1"/>
    <col min="9737" max="9737" width="18.75390625" style="163" customWidth="1"/>
    <col min="9738" max="9738" width="16.00390625" style="163" customWidth="1"/>
    <col min="9739" max="9739" width="17.625" style="163" customWidth="1"/>
    <col min="9740" max="9740" width="17.25390625" style="163" customWidth="1"/>
    <col min="9741" max="9742" width="18.75390625" style="163" customWidth="1"/>
    <col min="9743" max="9743" width="15.875" style="163" customWidth="1"/>
    <col min="9744" max="9744" width="15.25390625" style="163" customWidth="1"/>
    <col min="9745" max="9745" width="16.75390625" style="163" customWidth="1"/>
    <col min="9746" max="9746" width="71.25390625" style="163" customWidth="1"/>
    <col min="9747" max="9750" width="62.00390625" style="163" customWidth="1"/>
    <col min="9751" max="9984" width="9.125" style="163" customWidth="1"/>
    <col min="9985" max="9985" width="56.375" style="163" customWidth="1"/>
    <col min="9986" max="9986" width="9.375" style="163" customWidth="1"/>
    <col min="9987" max="9987" width="18.75390625" style="163" customWidth="1"/>
    <col min="9988" max="9988" width="17.125" style="163" customWidth="1"/>
    <col min="9989" max="9989" width="14.00390625" style="163" customWidth="1"/>
    <col min="9990" max="9990" width="14.625" style="163" customWidth="1"/>
    <col min="9991" max="9991" width="16.125" style="163" customWidth="1"/>
    <col min="9992" max="9992" width="19.25390625" style="163" customWidth="1"/>
    <col min="9993" max="9993" width="18.75390625" style="163" customWidth="1"/>
    <col min="9994" max="9994" width="16.00390625" style="163" customWidth="1"/>
    <col min="9995" max="9995" width="17.625" style="163" customWidth="1"/>
    <col min="9996" max="9996" width="17.25390625" style="163" customWidth="1"/>
    <col min="9997" max="9998" width="18.75390625" style="163" customWidth="1"/>
    <col min="9999" max="9999" width="15.875" style="163" customWidth="1"/>
    <col min="10000" max="10000" width="15.25390625" style="163" customWidth="1"/>
    <col min="10001" max="10001" width="16.75390625" style="163" customWidth="1"/>
    <col min="10002" max="10002" width="71.25390625" style="163" customWidth="1"/>
    <col min="10003" max="10006" width="62.00390625" style="163" customWidth="1"/>
    <col min="10007" max="10240" width="9.125" style="163" customWidth="1"/>
    <col min="10241" max="10241" width="56.375" style="163" customWidth="1"/>
    <col min="10242" max="10242" width="9.375" style="163" customWidth="1"/>
    <col min="10243" max="10243" width="18.75390625" style="163" customWidth="1"/>
    <col min="10244" max="10244" width="17.125" style="163" customWidth="1"/>
    <col min="10245" max="10245" width="14.00390625" style="163" customWidth="1"/>
    <col min="10246" max="10246" width="14.625" style="163" customWidth="1"/>
    <col min="10247" max="10247" width="16.125" style="163" customWidth="1"/>
    <col min="10248" max="10248" width="19.25390625" style="163" customWidth="1"/>
    <col min="10249" max="10249" width="18.75390625" style="163" customWidth="1"/>
    <col min="10250" max="10250" width="16.00390625" style="163" customWidth="1"/>
    <col min="10251" max="10251" width="17.625" style="163" customWidth="1"/>
    <col min="10252" max="10252" width="17.25390625" style="163" customWidth="1"/>
    <col min="10253" max="10254" width="18.75390625" style="163" customWidth="1"/>
    <col min="10255" max="10255" width="15.875" style="163" customWidth="1"/>
    <col min="10256" max="10256" width="15.25390625" style="163" customWidth="1"/>
    <col min="10257" max="10257" width="16.75390625" style="163" customWidth="1"/>
    <col min="10258" max="10258" width="71.25390625" style="163" customWidth="1"/>
    <col min="10259" max="10262" width="62.00390625" style="163" customWidth="1"/>
    <col min="10263" max="10496" width="9.125" style="163" customWidth="1"/>
    <col min="10497" max="10497" width="56.375" style="163" customWidth="1"/>
    <col min="10498" max="10498" width="9.375" style="163" customWidth="1"/>
    <col min="10499" max="10499" width="18.75390625" style="163" customWidth="1"/>
    <col min="10500" max="10500" width="17.125" style="163" customWidth="1"/>
    <col min="10501" max="10501" width="14.00390625" style="163" customWidth="1"/>
    <col min="10502" max="10502" width="14.625" style="163" customWidth="1"/>
    <col min="10503" max="10503" width="16.125" style="163" customWidth="1"/>
    <col min="10504" max="10504" width="19.25390625" style="163" customWidth="1"/>
    <col min="10505" max="10505" width="18.75390625" style="163" customWidth="1"/>
    <col min="10506" max="10506" width="16.00390625" style="163" customWidth="1"/>
    <col min="10507" max="10507" width="17.625" style="163" customWidth="1"/>
    <col min="10508" max="10508" width="17.25390625" style="163" customWidth="1"/>
    <col min="10509" max="10510" width="18.75390625" style="163" customWidth="1"/>
    <col min="10511" max="10511" width="15.875" style="163" customWidth="1"/>
    <col min="10512" max="10512" width="15.25390625" style="163" customWidth="1"/>
    <col min="10513" max="10513" width="16.75390625" style="163" customWidth="1"/>
    <col min="10514" max="10514" width="71.25390625" style="163" customWidth="1"/>
    <col min="10515" max="10518" width="62.00390625" style="163" customWidth="1"/>
    <col min="10519" max="10752" width="9.125" style="163" customWidth="1"/>
    <col min="10753" max="10753" width="56.375" style="163" customWidth="1"/>
    <col min="10754" max="10754" width="9.375" style="163" customWidth="1"/>
    <col min="10755" max="10755" width="18.75390625" style="163" customWidth="1"/>
    <col min="10756" max="10756" width="17.125" style="163" customWidth="1"/>
    <col min="10757" max="10757" width="14.00390625" style="163" customWidth="1"/>
    <col min="10758" max="10758" width="14.625" style="163" customWidth="1"/>
    <col min="10759" max="10759" width="16.125" style="163" customWidth="1"/>
    <col min="10760" max="10760" width="19.25390625" style="163" customWidth="1"/>
    <col min="10761" max="10761" width="18.75390625" style="163" customWidth="1"/>
    <col min="10762" max="10762" width="16.00390625" style="163" customWidth="1"/>
    <col min="10763" max="10763" width="17.625" style="163" customWidth="1"/>
    <col min="10764" max="10764" width="17.25390625" style="163" customWidth="1"/>
    <col min="10765" max="10766" width="18.75390625" style="163" customWidth="1"/>
    <col min="10767" max="10767" width="15.875" style="163" customWidth="1"/>
    <col min="10768" max="10768" width="15.25390625" style="163" customWidth="1"/>
    <col min="10769" max="10769" width="16.75390625" style="163" customWidth="1"/>
    <col min="10770" max="10770" width="71.25390625" style="163" customWidth="1"/>
    <col min="10771" max="10774" width="62.00390625" style="163" customWidth="1"/>
    <col min="10775" max="11008" width="9.125" style="163" customWidth="1"/>
    <col min="11009" max="11009" width="56.375" style="163" customWidth="1"/>
    <col min="11010" max="11010" width="9.375" style="163" customWidth="1"/>
    <col min="11011" max="11011" width="18.75390625" style="163" customWidth="1"/>
    <col min="11012" max="11012" width="17.125" style="163" customWidth="1"/>
    <col min="11013" max="11013" width="14.00390625" style="163" customWidth="1"/>
    <col min="11014" max="11014" width="14.625" style="163" customWidth="1"/>
    <col min="11015" max="11015" width="16.125" style="163" customWidth="1"/>
    <col min="11016" max="11016" width="19.25390625" style="163" customWidth="1"/>
    <col min="11017" max="11017" width="18.75390625" style="163" customWidth="1"/>
    <col min="11018" max="11018" width="16.00390625" style="163" customWidth="1"/>
    <col min="11019" max="11019" width="17.625" style="163" customWidth="1"/>
    <col min="11020" max="11020" width="17.25390625" style="163" customWidth="1"/>
    <col min="11021" max="11022" width="18.75390625" style="163" customWidth="1"/>
    <col min="11023" max="11023" width="15.875" style="163" customWidth="1"/>
    <col min="11024" max="11024" width="15.25390625" style="163" customWidth="1"/>
    <col min="11025" max="11025" width="16.75390625" style="163" customWidth="1"/>
    <col min="11026" max="11026" width="71.25390625" style="163" customWidth="1"/>
    <col min="11027" max="11030" width="62.00390625" style="163" customWidth="1"/>
    <col min="11031" max="11264" width="9.125" style="163" customWidth="1"/>
    <col min="11265" max="11265" width="56.375" style="163" customWidth="1"/>
    <col min="11266" max="11266" width="9.375" style="163" customWidth="1"/>
    <col min="11267" max="11267" width="18.75390625" style="163" customWidth="1"/>
    <col min="11268" max="11268" width="17.125" style="163" customWidth="1"/>
    <col min="11269" max="11269" width="14.00390625" style="163" customWidth="1"/>
    <col min="11270" max="11270" width="14.625" style="163" customWidth="1"/>
    <col min="11271" max="11271" width="16.125" style="163" customWidth="1"/>
    <col min="11272" max="11272" width="19.25390625" style="163" customWidth="1"/>
    <col min="11273" max="11273" width="18.75390625" style="163" customWidth="1"/>
    <col min="11274" max="11274" width="16.00390625" style="163" customWidth="1"/>
    <col min="11275" max="11275" width="17.625" style="163" customWidth="1"/>
    <col min="11276" max="11276" width="17.25390625" style="163" customWidth="1"/>
    <col min="11277" max="11278" width="18.75390625" style="163" customWidth="1"/>
    <col min="11279" max="11279" width="15.875" style="163" customWidth="1"/>
    <col min="11280" max="11280" width="15.25390625" style="163" customWidth="1"/>
    <col min="11281" max="11281" width="16.75390625" style="163" customWidth="1"/>
    <col min="11282" max="11282" width="71.25390625" style="163" customWidth="1"/>
    <col min="11283" max="11286" width="62.00390625" style="163" customWidth="1"/>
    <col min="11287" max="11520" width="9.125" style="163" customWidth="1"/>
    <col min="11521" max="11521" width="56.375" style="163" customWidth="1"/>
    <col min="11522" max="11522" width="9.375" style="163" customWidth="1"/>
    <col min="11523" max="11523" width="18.75390625" style="163" customWidth="1"/>
    <col min="11524" max="11524" width="17.125" style="163" customWidth="1"/>
    <col min="11525" max="11525" width="14.00390625" style="163" customWidth="1"/>
    <col min="11526" max="11526" width="14.625" style="163" customWidth="1"/>
    <col min="11527" max="11527" width="16.125" style="163" customWidth="1"/>
    <col min="11528" max="11528" width="19.25390625" style="163" customWidth="1"/>
    <col min="11529" max="11529" width="18.75390625" style="163" customWidth="1"/>
    <col min="11530" max="11530" width="16.00390625" style="163" customWidth="1"/>
    <col min="11531" max="11531" width="17.625" style="163" customWidth="1"/>
    <col min="11532" max="11532" width="17.25390625" style="163" customWidth="1"/>
    <col min="11533" max="11534" width="18.75390625" style="163" customWidth="1"/>
    <col min="11535" max="11535" width="15.875" style="163" customWidth="1"/>
    <col min="11536" max="11536" width="15.25390625" style="163" customWidth="1"/>
    <col min="11537" max="11537" width="16.75390625" style="163" customWidth="1"/>
    <col min="11538" max="11538" width="71.25390625" style="163" customWidth="1"/>
    <col min="11539" max="11542" width="62.00390625" style="163" customWidth="1"/>
    <col min="11543" max="11776" width="9.125" style="163" customWidth="1"/>
    <col min="11777" max="11777" width="56.375" style="163" customWidth="1"/>
    <col min="11778" max="11778" width="9.375" style="163" customWidth="1"/>
    <col min="11779" max="11779" width="18.75390625" style="163" customWidth="1"/>
    <col min="11780" max="11780" width="17.125" style="163" customWidth="1"/>
    <col min="11781" max="11781" width="14.00390625" style="163" customWidth="1"/>
    <col min="11782" max="11782" width="14.625" style="163" customWidth="1"/>
    <col min="11783" max="11783" width="16.125" style="163" customWidth="1"/>
    <col min="11784" max="11784" width="19.25390625" style="163" customWidth="1"/>
    <col min="11785" max="11785" width="18.75390625" style="163" customWidth="1"/>
    <col min="11786" max="11786" width="16.00390625" style="163" customWidth="1"/>
    <col min="11787" max="11787" width="17.625" style="163" customWidth="1"/>
    <col min="11788" max="11788" width="17.25390625" style="163" customWidth="1"/>
    <col min="11789" max="11790" width="18.75390625" style="163" customWidth="1"/>
    <col min="11791" max="11791" width="15.875" style="163" customWidth="1"/>
    <col min="11792" max="11792" width="15.25390625" style="163" customWidth="1"/>
    <col min="11793" max="11793" width="16.75390625" style="163" customWidth="1"/>
    <col min="11794" max="11794" width="71.25390625" style="163" customWidth="1"/>
    <col min="11795" max="11798" width="62.00390625" style="163" customWidth="1"/>
    <col min="11799" max="12032" width="9.125" style="163" customWidth="1"/>
    <col min="12033" max="12033" width="56.375" style="163" customWidth="1"/>
    <col min="12034" max="12034" width="9.375" style="163" customWidth="1"/>
    <col min="12035" max="12035" width="18.75390625" style="163" customWidth="1"/>
    <col min="12036" max="12036" width="17.125" style="163" customWidth="1"/>
    <col min="12037" max="12037" width="14.00390625" style="163" customWidth="1"/>
    <col min="12038" max="12038" width="14.625" style="163" customWidth="1"/>
    <col min="12039" max="12039" width="16.125" style="163" customWidth="1"/>
    <col min="12040" max="12040" width="19.25390625" style="163" customWidth="1"/>
    <col min="12041" max="12041" width="18.75390625" style="163" customWidth="1"/>
    <col min="12042" max="12042" width="16.00390625" style="163" customWidth="1"/>
    <col min="12043" max="12043" width="17.625" style="163" customWidth="1"/>
    <col min="12044" max="12044" width="17.25390625" style="163" customWidth="1"/>
    <col min="12045" max="12046" width="18.75390625" style="163" customWidth="1"/>
    <col min="12047" max="12047" width="15.875" style="163" customWidth="1"/>
    <col min="12048" max="12048" width="15.25390625" style="163" customWidth="1"/>
    <col min="12049" max="12049" width="16.75390625" style="163" customWidth="1"/>
    <col min="12050" max="12050" width="71.25390625" style="163" customWidth="1"/>
    <col min="12051" max="12054" width="62.00390625" style="163" customWidth="1"/>
    <col min="12055" max="12288" width="9.125" style="163" customWidth="1"/>
    <col min="12289" max="12289" width="56.375" style="163" customWidth="1"/>
    <col min="12290" max="12290" width="9.375" style="163" customWidth="1"/>
    <col min="12291" max="12291" width="18.75390625" style="163" customWidth="1"/>
    <col min="12292" max="12292" width="17.125" style="163" customWidth="1"/>
    <col min="12293" max="12293" width="14.00390625" style="163" customWidth="1"/>
    <col min="12294" max="12294" width="14.625" style="163" customWidth="1"/>
    <col min="12295" max="12295" width="16.125" style="163" customWidth="1"/>
    <col min="12296" max="12296" width="19.25390625" style="163" customWidth="1"/>
    <col min="12297" max="12297" width="18.75390625" style="163" customWidth="1"/>
    <col min="12298" max="12298" width="16.00390625" style="163" customWidth="1"/>
    <col min="12299" max="12299" width="17.625" style="163" customWidth="1"/>
    <col min="12300" max="12300" width="17.25390625" style="163" customWidth="1"/>
    <col min="12301" max="12302" width="18.75390625" style="163" customWidth="1"/>
    <col min="12303" max="12303" width="15.875" style="163" customWidth="1"/>
    <col min="12304" max="12304" width="15.25390625" style="163" customWidth="1"/>
    <col min="12305" max="12305" width="16.75390625" style="163" customWidth="1"/>
    <col min="12306" max="12306" width="71.25390625" style="163" customWidth="1"/>
    <col min="12307" max="12310" width="62.00390625" style="163" customWidth="1"/>
    <col min="12311" max="12544" width="9.125" style="163" customWidth="1"/>
    <col min="12545" max="12545" width="56.375" style="163" customWidth="1"/>
    <col min="12546" max="12546" width="9.375" style="163" customWidth="1"/>
    <col min="12547" max="12547" width="18.75390625" style="163" customWidth="1"/>
    <col min="12548" max="12548" width="17.125" style="163" customWidth="1"/>
    <col min="12549" max="12549" width="14.00390625" style="163" customWidth="1"/>
    <col min="12550" max="12550" width="14.625" style="163" customWidth="1"/>
    <col min="12551" max="12551" width="16.125" style="163" customWidth="1"/>
    <col min="12552" max="12552" width="19.25390625" style="163" customWidth="1"/>
    <col min="12553" max="12553" width="18.75390625" style="163" customWidth="1"/>
    <col min="12554" max="12554" width="16.00390625" style="163" customWidth="1"/>
    <col min="12555" max="12555" width="17.625" style="163" customWidth="1"/>
    <col min="12556" max="12556" width="17.25390625" style="163" customWidth="1"/>
    <col min="12557" max="12558" width="18.75390625" style="163" customWidth="1"/>
    <col min="12559" max="12559" width="15.875" style="163" customWidth="1"/>
    <col min="12560" max="12560" width="15.25390625" style="163" customWidth="1"/>
    <col min="12561" max="12561" width="16.75390625" style="163" customWidth="1"/>
    <col min="12562" max="12562" width="71.25390625" style="163" customWidth="1"/>
    <col min="12563" max="12566" width="62.00390625" style="163" customWidth="1"/>
    <col min="12567" max="12800" width="9.125" style="163" customWidth="1"/>
    <col min="12801" max="12801" width="56.375" style="163" customWidth="1"/>
    <col min="12802" max="12802" width="9.375" style="163" customWidth="1"/>
    <col min="12803" max="12803" width="18.75390625" style="163" customWidth="1"/>
    <col min="12804" max="12804" width="17.125" style="163" customWidth="1"/>
    <col min="12805" max="12805" width="14.00390625" style="163" customWidth="1"/>
    <col min="12806" max="12806" width="14.625" style="163" customWidth="1"/>
    <col min="12807" max="12807" width="16.125" style="163" customWidth="1"/>
    <col min="12808" max="12808" width="19.25390625" style="163" customWidth="1"/>
    <col min="12809" max="12809" width="18.75390625" style="163" customWidth="1"/>
    <col min="12810" max="12810" width="16.00390625" style="163" customWidth="1"/>
    <col min="12811" max="12811" width="17.625" style="163" customWidth="1"/>
    <col min="12812" max="12812" width="17.25390625" style="163" customWidth="1"/>
    <col min="12813" max="12814" width="18.75390625" style="163" customWidth="1"/>
    <col min="12815" max="12815" width="15.875" style="163" customWidth="1"/>
    <col min="12816" max="12816" width="15.25390625" style="163" customWidth="1"/>
    <col min="12817" max="12817" width="16.75390625" style="163" customWidth="1"/>
    <col min="12818" max="12818" width="71.25390625" style="163" customWidth="1"/>
    <col min="12819" max="12822" width="62.00390625" style="163" customWidth="1"/>
    <col min="12823" max="13056" width="9.125" style="163" customWidth="1"/>
    <col min="13057" max="13057" width="56.375" style="163" customWidth="1"/>
    <col min="13058" max="13058" width="9.375" style="163" customWidth="1"/>
    <col min="13059" max="13059" width="18.75390625" style="163" customWidth="1"/>
    <col min="13060" max="13060" width="17.125" style="163" customWidth="1"/>
    <col min="13061" max="13061" width="14.00390625" style="163" customWidth="1"/>
    <col min="13062" max="13062" width="14.625" style="163" customWidth="1"/>
    <col min="13063" max="13063" width="16.125" style="163" customWidth="1"/>
    <col min="13064" max="13064" width="19.25390625" style="163" customWidth="1"/>
    <col min="13065" max="13065" width="18.75390625" style="163" customWidth="1"/>
    <col min="13066" max="13066" width="16.00390625" style="163" customWidth="1"/>
    <col min="13067" max="13067" width="17.625" style="163" customWidth="1"/>
    <col min="13068" max="13068" width="17.25390625" style="163" customWidth="1"/>
    <col min="13069" max="13070" width="18.75390625" style="163" customWidth="1"/>
    <col min="13071" max="13071" width="15.875" style="163" customWidth="1"/>
    <col min="13072" max="13072" width="15.25390625" style="163" customWidth="1"/>
    <col min="13073" max="13073" width="16.75390625" style="163" customWidth="1"/>
    <col min="13074" max="13074" width="71.25390625" style="163" customWidth="1"/>
    <col min="13075" max="13078" width="62.00390625" style="163" customWidth="1"/>
    <col min="13079" max="13312" width="9.125" style="163" customWidth="1"/>
    <col min="13313" max="13313" width="56.375" style="163" customWidth="1"/>
    <col min="13314" max="13314" width="9.375" style="163" customWidth="1"/>
    <col min="13315" max="13315" width="18.75390625" style="163" customWidth="1"/>
    <col min="13316" max="13316" width="17.125" style="163" customWidth="1"/>
    <col min="13317" max="13317" width="14.00390625" style="163" customWidth="1"/>
    <col min="13318" max="13318" width="14.625" style="163" customWidth="1"/>
    <col min="13319" max="13319" width="16.125" style="163" customWidth="1"/>
    <col min="13320" max="13320" width="19.25390625" style="163" customWidth="1"/>
    <col min="13321" max="13321" width="18.75390625" style="163" customWidth="1"/>
    <col min="13322" max="13322" width="16.00390625" style="163" customWidth="1"/>
    <col min="13323" max="13323" width="17.625" style="163" customWidth="1"/>
    <col min="13324" max="13324" width="17.25390625" style="163" customWidth="1"/>
    <col min="13325" max="13326" width="18.75390625" style="163" customWidth="1"/>
    <col min="13327" max="13327" width="15.875" style="163" customWidth="1"/>
    <col min="13328" max="13328" width="15.25390625" style="163" customWidth="1"/>
    <col min="13329" max="13329" width="16.75390625" style="163" customWidth="1"/>
    <col min="13330" max="13330" width="71.25390625" style="163" customWidth="1"/>
    <col min="13331" max="13334" width="62.00390625" style="163" customWidth="1"/>
    <col min="13335" max="13568" width="9.125" style="163" customWidth="1"/>
    <col min="13569" max="13569" width="56.375" style="163" customWidth="1"/>
    <col min="13570" max="13570" width="9.375" style="163" customWidth="1"/>
    <col min="13571" max="13571" width="18.75390625" style="163" customWidth="1"/>
    <col min="13572" max="13572" width="17.125" style="163" customWidth="1"/>
    <col min="13573" max="13573" width="14.00390625" style="163" customWidth="1"/>
    <col min="13574" max="13574" width="14.625" style="163" customWidth="1"/>
    <col min="13575" max="13575" width="16.125" style="163" customWidth="1"/>
    <col min="13576" max="13576" width="19.25390625" style="163" customWidth="1"/>
    <col min="13577" max="13577" width="18.75390625" style="163" customWidth="1"/>
    <col min="13578" max="13578" width="16.00390625" style="163" customWidth="1"/>
    <col min="13579" max="13579" width="17.625" style="163" customWidth="1"/>
    <col min="13580" max="13580" width="17.25390625" style="163" customWidth="1"/>
    <col min="13581" max="13582" width="18.75390625" style="163" customWidth="1"/>
    <col min="13583" max="13583" width="15.875" style="163" customWidth="1"/>
    <col min="13584" max="13584" width="15.25390625" style="163" customWidth="1"/>
    <col min="13585" max="13585" width="16.75390625" style="163" customWidth="1"/>
    <col min="13586" max="13586" width="71.25390625" style="163" customWidth="1"/>
    <col min="13587" max="13590" width="62.00390625" style="163" customWidth="1"/>
    <col min="13591" max="13824" width="9.125" style="163" customWidth="1"/>
    <col min="13825" max="13825" width="56.375" style="163" customWidth="1"/>
    <col min="13826" max="13826" width="9.375" style="163" customWidth="1"/>
    <col min="13827" max="13827" width="18.75390625" style="163" customWidth="1"/>
    <col min="13828" max="13828" width="17.125" style="163" customWidth="1"/>
    <col min="13829" max="13829" width="14.00390625" style="163" customWidth="1"/>
    <col min="13830" max="13830" width="14.625" style="163" customWidth="1"/>
    <col min="13831" max="13831" width="16.125" style="163" customWidth="1"/>
    <col min="13832" max="13832" width="19.25390625" style="163" customWidth="1"/>
    <col min="13833" max="13833" width="18.75390625" style="163" customWidth="1"/>
    <col min="13834" max="13834" width="16.00390625" style="163" customWidth="1"/>
    <col min="13835" max="13835" width="17.625" style="163" customWidth="1"/>
    <col min="13836" max="13836" width="17.25390625" style="163" customWidth="1"/>
    <col min="13837" max="13838" width="18.75390625" style="163" customWidth="1"/>
    <col min="13839" max="13839" width="15.875" style="163" customWidth="1"/>
    <col min="13840" max="13840" width="15.25390625" style="163" customWidth="1"/>
    <col min="13841" max="13841" width="16.75390625" style="163" customWidth="1"/>
    <col min="13842" max="13842" width="71.25390625" style="163" customWidth="1"/>
    <col min="13843" max="13846" width="62.00390625" style="163" customWidth="1"/>
    <col min="13847" max="14080" width="9.125" style="163" customWidth="1"/>
    <col min="14081" max="14081" width="56.375" style="163" customWidth="1"/>
    <col min="14082" max="14082" width="9.375" style="163" customWidth="1"/>
    <col min="14083" max="14083" width="18.75390625" style="163" customWidth="1"/>
    <col min="14084" max="14084" width="17.125" style="163" customWidth="1"/>
    <col min="14085" max="14085" width="14.00390625" style="163" customWidth="1"/>
    <col min="14086" max="14086" width="14.625" style="163" customWidth="1"/>
    <col min="14087" max="14087" width="16.125" style="163" customWidth="1"/>
    <col min="14088" max="14088" width="19.25390625" style="163" customWidth="1"/>
    <col min="14089" max="14089" width="18.75390625" style="163" customWidth="1"/>
    <col min="14090" max="14090" width="16.00390625" style="163" customWidth="1"/>
    <col min="14091" max="14091" width="17.625" style="163" customWidth="1"/>
    <col min="14092" max="14092" width="17.25390625" style="163" customWidth="1"/>
    <col min="14093" max="14094" width="18.75390625" style="163" customWidth="1"/>
    <col min="14095" max="14095" width="15.875" style="163" customWidth="1"/>
    <col min="14096" max="14096" width="15.25390625" style="163" customWidth="1"/>
    <col min="14097" max="14097" width="16.75390625" style="163" customWidth="1"/>
    <col min="14098" max="14098" width="71.25390625" style="163" customWidth="1"/>
    <col min="14099" max="14102" width="62.00390625" style="163" customWidth="1"/>
    <col min="14103" max="14336" width="9.125" style="163" customWidth="1"/>
    <col min="14337" max="14337" width="56.375" style="163" customWidth="1"/>
    <col min="14338" max="14338" width="9.375" style="163" customWidth="1"/>
    <col min="14339" max="14339" width="18.75390625" style="163" customWidth="1"/>
    <col min="14340" max="14340" width="17.125" style="163" customWidth="1"/>
    <col min="14341" max="14341" width="14.00390625" style="163" customWidth="1"/>
    <col min="14342" max="14342" width="14.625" style="163" customWidth="1"/>
    <col min="14343" max="14343" width="16.125" style="163" customWidth="1"/>
    <col min="14344" max="14344" width="19.25390625" style="163" customWidth="1"/>
    <col min="14345" max="14345" width="18.75390625" style="163" customWidth="1"/>
    <col min="14346" max="14346" width="16.00390625" style="163" customWidth="1"/>
    <col min="14347" max="14347" width="17.625" style="163" customWidth="1"/>
    <col min="14348" max="14348" width="17.25390625" style="163" customWidth="1"/>
    <col min="14349" max="14350" width="18.75390625" style="163" customWidth="1"/>
    <col min="14351" max="14351" width="15.875" style="163" customWidth="1"/>
    <col min="14352" max="14352" width="15.25390625" style="163" customWidth="1"/>
    <col min="14353" max="14353" width="16.75390625" style="163" customWidth="1"/>
    <col min="14354" max="14354" width="71.25390625" style="163" customWidth="1"/>
    <col min="14355" max="14358" width="62.00390625" style="163" customWidth="1"/>
    <col min="14359" max="14592" width="9.125" style="163" customWidth="1"/>
    <col min="14593" max="14593" width="56.375" style="163" customWidth="1"/>
    <col min="14594" max="14594" width="9.375" style="163" customWidth="1"/>
    <col min="14595" max="14595" width="18.75390625" style="163" customWidth="1"/>
    <col min="14596" max="14596" width="17.125" style="163" customWidth="1"/>
    <col min="14597" max="14597" width="14.00390625" style="163" customWidth="1"/>
    <col min="14598" max="14598" width="14.625" style="163" customWidth="1"/>
    <col min="14599" max="14599" width="16.125" style="163" customWidth="1"/>
    <col min="14600" max="14600" width="19.25390625" style="163" customWidth="1"/>
    <col min="14601" max="14601" width="18.75390625" style="163" customWidth="1"/>
    <col min="14602" max="14602" width="16.00390625" style="163" customWidth="1"/>
    <col min="14603" max="14603" width="17.625" style="163" customWidth="1"/>
    <col min="14604" max="14604" width="17.25390625" style="163" customWidth="1"/>
    <col min="14605" max="14606" width="18.75390625" style="163" customWidth="1"/>
    <col min="14607" max="14607" width="15.875" style="163" customWidth="1"/>
    <col min="14608" max="14608" width="15.25390625" style="163" customWidth="1"/>
    <col min="14609" max="14609" width="16.75390625" style="163" customWidth="1"/>
    <col min="14610" max="14610" width="71.25390625" style="163" customWidth="1"/>
    <col min="14611" max="14614" width="62.00390625" style="163" customWidth="1"/>
    <col min="14615" max="14848" width="9.125" style="163" customWidth="1"/>
    <col min="14849" max="14849" width="56.375" style="163" customWidth="1"/>
    <col min="14850" max="14850" width="9.375" style="163" customWidth="1"/>
    <col min="14851" max="14851" width="18.75390625" style="163" customWidth="1"/>
    <col min="14852" max="14852" width="17.125" style="163" customWidth="1"/>
    <col min="14853" max="14853" width="14.00390625" style="163" customWidth="1"/>
    <col min="14854" max="14854" width="14.625" style="163" customWidth="1"/>
    <col min="14855" max="14855" width="16.125" style="163" customWidth="1"/>
    <col min="14856" max="14856" width="19.25390625" style="163" customWidth="1"/>
    <col min="14857" max="14857" width="18.75390625" style="163" customWidth="1"/>
    <col min="14858" max="14858" width="16.00390625" style="163" customWidth="1"/>
    <col min="14859" max="14859" width="17.625" style="163" customWidth="1"/>
    <col min="14860" max="14860" width="17.25390625" style="163" customWidth="1"/>
    <col min="14861" max="14862" width="18.75390625" style="163" customWidth="1"/>
    <col min="14863" max="14863" width="15.875" style="163" customWidth="1"/>
    <col min="14864" max="14864" width="15.25390625" style="163" customWidth="1"/>
    <col min="14865" max="14865" width="16.75390625" style="163" customWidth="1"/>
    <col min="14866" max="14866" width="71.25390625" style="163" customWidth="1"/>
    <col min="14867" max="14870" width="62.00390625" style="163" customWidth="1"/>
    <col min="14871" max="15104" width="9.125" style="163" customWidth="1"/>
    <col min="15105" max="15105" width="56.375" style="163" customWidth="1"/>
    <col min="15106" max="15106" width="9.375" style="163" customWidth="1"/>
    <col min="15107" max="15107" width="18.75390625" style="163" customWidth="1"/>
    <col min="15108" max="15108" width="17.125" style="163" customWidth="1"/>
    <col min="15109" max="15109" width="14.00390625" style="163" customWidth="1"/>
    <col min="15110" max="15110" width="14.625" style="163" customWidth="1"/>
    <col min="15111" max="15111" width="16.125" style="163" customWidth="1"/>
    <col min="15112" max="15112" width="19.25390625" style="163" customWidth="1"/>
    <col min="15113" max="15113" width="18.75390625" style="163" customWidth="1"/>
    <col min="15114" max="15114" width="16.00390625" style="163" customWidth="1"/>
    <col min="15115" max="15115" width="17.625" style="163" customWidth="1"/>
    <col min="15116" max="15116" width="17.25390625" style="163" customWidth="1"/>
    <col min="15117" max="15118" width="18.75390625" style="163" customWidth="1"/>
    <col min="15119" max="15119" width="15.875" style="163" customWidth="1"/>
    <col min="15120" max="15120" width="15.25390625" style="163" customWidth="1"/>
    <col min="15121" max="15121" width="16.75390625" style="163" customWidth="1"/>
    <col min="15122" max="15122" width="71.25390625" style="163" customWidth="1"/>
    <col min="15123" max="15126" width="62.00390625" style="163" customWidth="1"/>
    <col min="15127" max="15360" width="9.125" style="163" customWidth="1"/>
    <col min="15361" max="15361" width="56.375" style="163" customWidth="1"/>
    <col min="15362" max="15362" width="9.375" style="163" customWidth="1"/>
    <col min="15363" max="15363" width="18.75390625" style="163" customWidth="1"/>
    <col min="15364" max="15364" width="17.125" style="163" customWidth="1"/>
    <col min="15365" max="15365" width="14.00390625" style="163" customWidth="1"/>
    <col min="15366" max="15366" width="14.625" style="163" customWidth="1"/>
    <col min="15367" max="15367" width="16.125" style="163" customWidth="1"/>
    <col min="15368" max="15368" width="19.25390625" style="163" customWidth="1"/>
    <col min="15369" max="15369" width="18.75390625" style="163" customWidth="1"/>
    <col min="15370" max="15370" width="16.00390625" style="163" customWidth="1"/>
    <col min="15371" max="15371" width="17.625" style="163" customWidth="1"/>
    <col min="15372" max="15372" width="17.25390625" style="163" customWidth="1"/>
    <col min="15373" max="15374" width="18.75390625" style="163" customWidth="1"/>
    <col min="15375" max="15375" width="15.875" style="163" customWidth="1"/>
    <col min="15376" max="15376" width="15.25390625" style="163" customWidth="1"/>
    <col min="15377" max="15377" width="16.75390625" style="163" customWidth="1"/>
    <col min="15378" max="15378" width="71.25390625" style="163" customWidth="1"/>
    <col min="15379" max="15382" width="62.00390625" style="163" customWidth="1"/>
    <col min="15383" max="15616" width="9.125" style="163" customWidth="1"/>
    <col min="15617" max="15617" width="56.375" style="163" customWidth="1"/>
    <col min="15618" max="15618" width="9.375" style="163" customWidth="1"/>
    <col min="15619" max="15619" width="18.75390625" style="163" customWidth="1"/>
    <col min="15620" max="15620" width="17.125" style="163" customWidth="1"/>
    <col min="15621" max="15621" width="14.00390625" style="163" customWidth="1"/>
    <col min="15622" max="15622" width="14.625" style="163" customWidth="1"/>
    <col min="15623" max="15623" width="16.125" style="163" customWidth="1"/>
    <col min="15624" max="15624" width="19.25390625" style="163" customWidth="1"/>
    <col min="15625" max="15625" width="18.75390625" style="163" customWidth="1"/>
    <col min="15626" max="15626" width="16.00390625" style="163" customWidth="1"/>
    <col min="15627" max="15627" width="17.625" style="163" customWidth="1"/>
    <col min="15628" max="15628" width="17.25390625" style="163" customWidth="1"/>
    <col min="15629" max="15630" width="18.75390625" style="163" customWidth="1"/>
    <col min="15631" max="15631" width="15.875" style="163" customWidth="1"/>
    <col min="15632" max="15632" width="15.25390625" style="163" customWidth="1"/>
    <col min="15633" max="15633" width="16.75390625" style="163" customWidth="1"/>
    <col min="15634" max="15634" width="71.25390625" style="163" customWidth="1"/>
    <col min="15635" max="15638" width="62.00390625" style="163" customWidth="1"/>
    <col min="15639" max="15872" width="9.125" style="163" customWidth="1"/>
    <col min="15873" max="15873" width="56.375" style="163" customWidth="1"/>
    <col min="15874" max="15874" width="9.375" style="163" customWidth="1"/>
    <col min="15875" max="15875" width="18.75390625" style="163" customWidth="1"/>
    <col min="15876" max="15876" width="17.125" style="163" customWidth="1"/>
    <col min="15877" max="15877" width="14.00390625" style="163" customWidth="1"/>
    <col min="15878" max="15878" width="14.625" style="163" customWidth="1"/>
    <col min="15879" max="15879" width="16.125" style="163" customWidth="1"/>
    <col min="15880" max="15880" width="19.25390625" style="163" customWidth="1"/>
    <col min="15881" max="15881" width="18.75390625" style="163" customWidth="1"/>
    <col min="15882" max="15882" width="16.00390625" style="163" customWidth="1"/>
    <col min="15883" max="15883" width="17.625" style="163" customWidth="1"/>
    <col min="15884" max="15884" width="17.25390625" style="163" customWidth="1"/>
    <col min="15885" max="15886" width="18.75390625" style="163" customWidth="1"/>
    <col min="15887" max="15887" width="15.875" style="163" customWidth="1"/>
    <col min="15888" max="15888" width="15.25390625" style="163" customWidth="1"/>
    <col min="15889" max="15889" width="16.75390625" style="163" customWidth="1"/>
    <col min="15890" max="15890" width="71.25390625" style="163" customWidth="1"/>
    <col min="15891" max="15894" width="62.00390625" style="163" customWidth="1"/>
    <col min="15895" max="16128" width="9.125" style="163" customWidth="1"/>
    <col min="16129" max="16129" width="56.375" style="163" customWidth="1"/>
    <col min="16130" max="16130" width="9.375" style="163" customWidth="1"/>
    <col min="16131" max="16131" width="18.75390625" style="163" customWidth="1"/>
    <col min="16132" max="16132" width="17.125" style="163" customWidth="1"/>
    <col min="16133" max="16133" width="14.00390625" style="163" customWidth="1"/>
    <col min="16134" max="16134" width="14.625" style="163" customWidth="1"/>
    <col min="16135" max="16135" width="16.125" style="163" customWidth="1"/>
    <col min="16136" max="16136" width="19.25390625" style="163" customWidth="1"/>
    <col min="16137" max="16137" width="18.75390625" style="163" customWidth="1"/>
    <col min="16138" max="16138" width="16.00390625" style="163" customWidth="1"/>
    <col min="16139" max="16139" width="17.625" style="163" customWidth="1"/>
    <col min="16140" max="16140" width="17.25390625" style="163" customWidth="1"/>
    <col min="16141" max="16142" width="18.75390625" style="163" customWidth="1"/>
    <col min="16143" max="16143" width="15.875" style="163" customWidth="1"/>
    <col min="16144" max="16144" width="15.25390625" style="163" customWidth="1"/>
    <col min="16145" max="16145" width="16.75390625" style="163" customWidth="1"/>
    <col min="16146" max="16146" width="71.25390625" style="163" customWidth="1"/>
    <col min="16147" max="16150" width="62.00390625" style="163" customWidth="1"/>
    <col min="16151" max="16384" width="9.125" style="163" customWidth="1"/>
  </cols>
  <sheetData>
    <row r="1" spans="12:18" ht="15.75" customHeight="1">
      <c r="L1" s="164" t="s">
        <v>150</v>
      </c>
      <c r="R1" s="164" t="s">
        <v>150</v>
      </c>
    </row>
    <row r="2" spans="10:18" ht="12.75">
      <c r="J2" s="365" t="s">
        <v>231</v>
      </c>
      <c r="K2" s="365"/>
      <c r="L2" s="365"/>
      <c r="R2" s="296" t="str">
        <f>J2</f>
        <v>к протоколу № 2 от 12.03.2015.</v>
      </c>
    </row>
    <row r="3" ht="4.5" customHeight="1"/>
    <row r="4" ht="12.75" hidden="1"/>
    <row r="5" spans="2:22" ht="24.75" customHeight="1">
      <c r="B5" s="165"/>
      <c r="C5" s="366" t="s">
        <v>151</v>
      </c>
      <c r="D5" s="366"/>
      <c r="E5" s="366"/>
      <c r="F5" s="366"/>
      <c r="G5" s="366"/>
      <c r="H5" s="366"/>
      <c r="I5" s="366"/>
      <c r="J5" s="366"/>
      <c r="K5" s="366"/>
      <c r="L5" s="366" t="s">
        <v>151</v>
      </c>
      <c r="M5" s="366"/>
      <c r="N5" s="366"/>
      <c r="O5" s="366"/>
      <c r="P5" s="366"/>
      <c r="Q5" s="366"/>
      <c r="R5" s="366"/>
      <c r="S5" s="165"/>
      <c r="T5" s="165"/>
      <c r="U5" s="165"/>
      <c r="V5" s="165"/>
    </row>
    <row r="6" spans="2:22" ht="15.75" customHeight="1">
      <c r="B6" s="166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166"/>
      <c r="T6" s="166"/>
      <c r="U6" s="166"/>
      <c r="V6" s="166"/>
    </row>
    <row r="7" spans="2:22" ht="9.75" customHeight="1">
      <c r="B7" s="167"/>
      <c r="C7" s="363" t="s">
        <v>119</v>
      </c>
      <c r="D7" s="363"/>
      <c r="E7" s="363"/>
      <c r="F7" s="363"/>
      <c r="G7" s="363"/>
      <c r="H7" s="363"/>
      <c r="I7" s="363"/>
      <c r="J7" s="363"/>
      <c r="K7" s="363"/>
      <c r="L7" s="364" t="s">
        <v>119</v>
      </c>
      <c r="M7" s="364"/>
      <c r="N7" s="364"/>
      <c r="O7" s="364"/>
      <c r="P7" s="364"/>
      <c r="Q7" s="364"/>
      <c r="R7" s="364"/>
      <c r="S7" s="167"/>
      <c r="T7" s="167"/>
      <c r="U7" s="167"/>
      <c r="V7" s="167"/>
    </row>
    <row r="8" ht="3" customHeight="1" thickBot="1"/>
    <row r="9" spans="1:26" ht="29.25" customHeight="1">
      <c r="A9" s="383" t="s">
        <v>11</v>
      </c>
      <c r="B9" s="386" t="s">
        <v>35</v>
      </c>
      <c r="C9" s="389" t="s">
        <v>230</v>
      </c>
      <c r="D9" s="390"/>
      <c r="E9" s="390"/>
      <c r="F9" s="390"/>
      <c r="G9" s="391"/>
      <c r="H9" s="392" t="s">
        <v>232</v>
      </c>
      <c r="I9" s="393"/>
      <c r="J9" s="393"/>
      <c r="K9" s="393"/>
      <c r="L9" s="394"/>
      <c r="M9" s="379" t="s">
        <v>152</v>
      </c>
      <c r="N9" s="380"/>
      <c r="O9" s="380"/>
      <c r="P9" s="380"/>
      <c r="Q9" s="381"/>
      <c r="R9" s="368" t="s">
        <v>177</v>
      </c>
      <c r="S9" s="168"/>
      <c r="T9" s="168"/>
      <c r="U9" s="168"/>
      <c r="V9" s="168"/>
      <c r="W9" s="168"/>
      <c r="X9" s="168"/>
      <c r="Y9" s="168"/>
      <c r="Z9" s="168"/>
    </row>
    <row r="10" spans="1:26" ht="82.5" customHeight="1">
      <c r="A10" s="384"/>
      <c r="B10" s="387"/>
      <c r="C10" s="371" t="s">
        <v>198</v>
      </c>
      <c r="D10" s="373" t="s">
        <v>120</v>
      </c>
      <c r="E10" s="374"/>
      <c r="F10" s="375" t="s">
        <v>121</v>
      </c>
      <c r="G10" s="377" t="s">
        <v>127</v>
      </c>
      <c r="H10" s="371" t="s">
        <v>196</v>
      </c>
      <c r="I10" s="373" t="s">
        <v>120</v>
      </c>
      <c r="J10" s="374"/>
      <c r="K10" s="375" t="s">
        <v>121</v>
      </c>
      <c r="L10" s="377" t="s">
        <v>127</v>
      </c>
      <c r="M10" s="371" t="s">
        <v>196</v>
      </c>
      <c r="N10" s="373" t="s">
        <v>120</v>
      </c>
      <c r="O10" s="374"/>
      <c r="P10" s="375" t="s">
        <v>121</v>
      </c>
      <c r="Q10" s="377" t="s">
        <v>153</v>
      </c>
      <c r="R10" s="369"/>
      <c r="S10" s="168"/>
      <c r="T10" s="168"/>
      <c r="U10" s="168"/>
      <c r="V10" s="168"/>
      <c r="W10" s="168"/>
      <c r="X10" s="168"/>
      <c r="Y10" s="168"/>
      <c r="Z10" s="168"/>
    </row>
    <row r="11" spans="1:26" ht="92.25" customHeight="1" thickBot="1">
      <c r="A11" s="385"/>
      <c r="B11" s="388"/>
      <c r="C11" s="372"/>
      <c r="D11" s="169" t="s">
        <v>122</v>
      </c>
      <c r="E11" s="270" t="s">
        <v>184</v>
      </c>
      <c r="F11" s="376"/>
      <c r="G11" s="378"/>
      <c r="H11" s="372"/>
      <c r="I11" s="169" t="s">
        <v>122</v>
      </c>
      <c r="J11" s="270" t="s">
        <v>184</v>
      </c>
      <c r="K11" s="376"/>
      <c r="L11" s="378"/>
      <c r="M11" s="372"/>
      <c r="N11" s="169" t="s">
        <v>122</v>
      </c>
      <c r="O11" s="270" t="s">
        <v>184</v>
      </c>
      <c r="P11" s="376"/>
      <c r="Q11" s="378"/>
      <c r="R11" s="370"/>
      <c r="S11" s="168"/>
      <c r="T11" s="168"/>
      <c r="U11" s="168"/>
      <c r="V11" s="168"/>
      <c r="W11" s="168"/>
      <c r="X11" s="168"/>
      <c r="Y11" s="168"/>
      <c r="Z11" s="168"/>
    </row>
    <row r="12" spans="1:26" ht="15.75" thickBot="1">
      <c r="A12" s="170">
        <v>1</v>
      </c>
      <c r="B12" s="171">
        <v>2</v>
      </c>
      <c r="C12" s="170" t="s">
        <v>154</v>
      </c>
      <c r="D12" s="172">
        <v>4</v>
      </c>
      <c r="E12" s="172">
        <v>5</v>
      </c>
      <c r="F12" s="172">
        <v>6</v>
      </c>
      <c r="G12" s="171">
        <v>7</v>
      </c>
      <c r="H12" s="170" t="s">
        <v>155</v>
      </c>
      <c r="I12" s="172">
        <v>9</v>
      </c>
      <c r="J12" s="172">
        <v>10</v>
      </c>
      <c r="K12" s="172">
        <v>11</v>
      </c>
      <c r="L12" s="171">
        <v>12</v>
      </c>
      <c r="M12" s="170" t="s">
        <v>156</v>
      </c>
      <c r="N12" s="172" t="s">
        <v>157</v>
      </c>
      <c r="O12" s="172" t="s">
        <v>158</v>
      </c>
      <c r="P12" s="172" t="s">
        <v>159</v>
      </c>
      <c r="Q12" s="171" t="s">
        <v>160</v>
      </c>
      <c r="R12" s="173">
        <v>18</v>
      </c>
      <c r="S12" s="168"/>
      <c r="T12" s="168"/>
      <c r="U12" s="168"/>
      <c r="V12" s="168"/>
      <c r="W12" s="168"/>
      <c r="X12" s="168"/>
      <c r="Y12" s="168"/>
      <c r="Z12" s="168"/>
    </row>
    <row r="13" spans="1:18" ht="12.75">
      <c r="A13" s="174" t="s">
        <v>97</v>
      </c>
      <c r="B13" s="175"/>
      <c r="C13" s="176">
        <f>D13+E13+F13+G13</f>
        <v>13300</v>
      </c>
      <c r="D13" s="177"/>
      <c r="E13" s="177"/>
      <c r="F13" s="177"/>
      <c r="G13" s="178">
        <v>13300</v>
      </c>
      <c r="H13" s="179">
        <f>I13+J13+K13+L13</f>
        <v>471312.95000000007</v>
      </c>
      <c r="I13" s="266">
        <f>'Касс. план Обл. бюдж.'!D19</f>
        <v>178346.67</v>
      </c>
      <c r="J13" s="266">
        <f>'Касс.пл. ХМАО'!D19</f>
        <v>0</v>
      </c>
      <c r="K13" s="266">
        <f>'Субсидия (50500)'!D19</f>
        <v>0</v>
      </c>
      <c r="L13" s="267">
        <f>'Касс.пл.Внеб.(50300)СВОД'!D19</f>
        <v>292966.28</v>
      </c>
      <c r="M13" s="180">
        <f>N13+O13+P13+Q13</f>
        <v>-458012.95000000007</v>
      </c>
      <c r="N13" s="181">
        <f>D13-I13</f>
        <v>-178346.67</v>
      </c>
      <c r="O13" s="181">
        <f>E13-J13</f>
        <v>0</v>
      </c>
      <c r="P13" s="181">
        <f>F13-K13</f>
        <v>0</v>
      </c>
      <c r="Q13" s="182">
        <f>G13-L13</f>
        <v>-279666.28</v>
      </c>
      <c r="R13" s="183"/>
    </row>
    <row r="14" spans="1:18" ht="56.25" customHeight="1">
      <c r="A14" s="184" t="s">
        <v>37</v>
      </c>
      <c r="B14" s="185"/>
      <c r="C14" s="186">
        <f>D14+E14+F14+G14</f>
        <v>38093000</v>
      </c>
      <c r="D14" s="187">
        <f>D22-D13</f>
        <v>25040000</v>
      </c>
      <c r="E14" s="187">
        <f>E22-E13</f>
        <v>0</v>
      </c>
      <c r="F14" s="187">
        <f>F22-F13</f>
        <v>0</v>
      </c>
      <c r="G14" s="188">
        <f>G22-G13</f>
        <v>13053000</v>
      </c>
      <c r="H14" s="176">
        <f>I14+J14+K14+L14</f>
        <v>39762000</v>
      </c>
      <c r="I14" s="187">
        <f aca="true" t="shared" si="0" ref="I14:Q14">I22-I13</f>
        <v>25040000</v>
      </c>
      <c r="J14" s="187">
        <f t="shared" si="0"/>
        <v>0</v>
      </c>
      <c r="K14" s="187">
        <f t="shared" si="0"/>
        <v>0</v>
      </c>
      <c r="L14" s="189">
        <f t="shared" si="0"/>
        <v>14722000.000000002</v>
      </c>
      <c r="M14" s="190">
        <f t="shared" si="0"/>
        <v>2585025.900000003</v>
      </c>
      <c r="N14" s="191">
        <f t="shared" si="0"/>
        <v>356693.34000000183</v>
      </c>
      <c r="O14" s="191">
        <f t="shared" si="0"/>
        <v>0</v>
      </c>
      <c r="P14" s="191">
        <f t="shared" si="0"/>
        <v>0</v>
      </c>
      <c r="Q14" s="191">
        <f t="shared" si="0"/>
        <v>2228332.5600000015</v>
      </c>
      <c r="R14" s="192"/>
    </row>
    <row r="15" spans="1:18" ht="12.75">
      <c r="A15" s="193" t="s">
        <v>33</v>
      </c>
      <c r="B15" s="185"/>
      <c r="C15" s="186"/>
      <c r="D15" s="194"/>
      <c r="E15" s="194"/>
      <c r="F15" s="194"/>
      <c r="G15" s="195"/>
      <c r="H15" s="186"/>
      <c r="I15" s="194"/>
      <c r="J15" s="194"/>
      <c r="K15" s="194"/>
      <c r="L15" s="196"/>
      <c r="M15" s="190"/>
      <c r="N15" s="197"/>
      <c r="O15" s="197"/>
      <c r="P15" s="197"/>
      <c r="Q15" s="198"/>
      <c r="R15" s="199"/>
    </row>
    <row r="16" spans="1:18" ht="30">
      <c r="A16" s="184" t="s">
        <v>161</v>
      </c>
      <c r="B16" s="185"/>
      <c r="C16" s="186">
        <f>C18+C19</f>
        <v>25040000</v>
      </c>
      <c r="D16" s="194"/>
      <c r="E16" s="194"/>
      <c r="F16" s="194"/>
      <c r="G16" s="195"/>
      <c r="H16" s="186">
        <f>H18+H19</f>
        <v>25040000</v>
      </c>
      <c r="I16" s="194"/>
      <c r="J16" s="194"/>
      <c r="K16" s="194"/>
      <c r="L16" s="196"/>
      <c r="M16" s="190">
        <f>N16+O16+P16+Q16</f>
        <v>0</v>
      </c>
      <c r="N16" s="197">
        <f>I16-D16</f>
        <v>0</v>
      </c>
      <c r="O16" s="197">
        <f>J16-E16</f>
        <v>0</v>
      </c>
      <c r="P16" s="197">
        <f>K16-F16</f>
        <v>0</v>
      </c>
      <c r="Q16" s="197">
        <f>L16-G16</f>
        <v>0</v>
      </c>
      <c r="R16" s="199"/>
    </row>
    <row r="17" spans="1:18" ht="12.75">
      <c r="A17" s="193" t="s">
        <v>33</v>
      </c>
      <c r="B17" s="185"/>
      <c r="C17" s="186"/>
      <c r="D17" s="194"/>
      <c r="E17" s="194"/>
      <c r="F17" s="194"/>
      <c r="G17" s="195"/>
      <c r="H17" s="186"/>
      <c r="I17" s="194"/>
      <c r="J17" s="194"/>
      <c r="K17" s="194"/>
      <c r="L17" s="196"/>
      <c r="M17" s="190"/>
      <c r="N17" s="197">
        <f aca="true" t="shared" si="1" ref="N17:Q28">I17-D17</f>
        <v>0</v>
      </c>
      <c r="O17" s="197">
        <f t="shared" si="1"/>
        <v>0</v>
      </c>
      <c r="P17" s="197">
        <f t="shared" si="1"/>
        <v>0</v>
      </c>
      <c r="Q17" s="197">
        <f t="shared" si="1"/>
        <v>0</v>
      </c>
      <c r="R17" s="199"/>
    </row>
    <row r="18" spans="1:18" ht="12.75">
      <c r="A18" s="184" t="s">
        <v>125</v>
      </c>
      <c r="B18" s="185"/>
      <c r="C18" s="186">
        <f>D14</f>
        <v>25040000</v>
      </c>
      <c r="D18" s="194">
        <f>C18</f>
        <v>25040000</v>
      </c>
      <c r="E18" s="194"/>
      <c r="F18" s="194"/>
      <c r="G18" s="195"/>
      <c r="H18" s="186">
        <f>I14</f>
        <v>25040000</v>
      </c>
      <c r="I18" s="194">
        <f>H18</f>
        <v>25040000</v>
      </c>
      <c r="J18" s="194"/>
      <c r="K18" s="194"/>
      <c r="L18" s="196"/>
      <c r="M18" s="190">
        <f aca="true" t="shared" si="2" ref="M18:M28">N18+O18+P18+Q18</f>
        <v>0</v>
      </c>
      <c r="N18" s="197">
        <f t="shared" si="1"/>
        <v>0</v>
      </c>
      <c r="O18" s="197">
        <f t="shared" si="1"/>
        <v>0</v>
      </c>
      <c r="P18" s="197">
        <f t="shared" si="1"/>
        <v>0</v>
      </c>
      <c r="Q18" s="197">
        <f t="shared" si="1"/>
        <v>0</v>
      </c>
      <c r="R18" s="192"/>
    </row>
    <row r="19" spans="1:18" ht="30">
      <c r="A19" s="184" t="s">
        <v>178</v>
      </c>
      <c r="B19" s="185"/>
      <c r="C19" s="186">
        <f>E14</f>
        <v>0</v>
      </c>
      <c r="D19" s="194"/>
      <c r="E19" s="194">
        <f>C19</f>
        <v>0</v>
      </c>
      <c r="F19" s="194"/>
      <c r="G19" s="195"/>
      <c r="H19" s="186">
        <f>J14</f>
        <v>0</v>
      </c>
      <c r="I19" s="194"/>
      <c r="J19" s="194">
        <f>H19</f>
        <v>0</v>
      </c>
      <c r="K19" s="194"/>
      <c r="L19" s="196"/>
      <c r="M19" s="190">
        <f t="shared" si="2"/>
        <v>0</v>
      </c>
      <c r="N19" s="197">
        <f t="shared" si="1"/>
        <v>0</v>
      </c>
      <c r="O19" s="197">
        <f t="shared" si="1"/>
        <v>0</v>
      </c>
      <c r="P19" s="197">
        <f t="shared" si="1"/>
        <v>0</v>
      </c>
      <c r="Q19" s="197">
        <f t="shared" si="1"/>
        <v>0</v>
      </c>
      <c r="R19" s="199"/>
    </row>
    <row r="20" spans="1:18" ht="12.75">
      <c r="A20" s="184" t="s">
        <v>126</v>
      </c>
      <c r="B20" s="185"/>
      <c r="C20" s="186">
        <f>F14</f>
        <v>0</v>
      </c>
      <c r="D20" s="194"/>
      <c r="E20" s="194"/>
      <c r="F20" s="194">
        <f>C20</f>
        <v>0</v>
      </c>
      <c r="G20" s="195"/>
      <c r="H20" s="186">
        <f>K14</f>
        <v>0</v>
      </c>
      <c r="I20" s="194"/>
      <c r="J20" s="194"/>
      <c r="K20" s="194">
        <f>H20</f>
        <v>0</v>
      </c>
      <c r="L20" s="196"/>
      <c r="M20" s="190">
        <f t="shared" si="2"/>
        <v>0</v>
      </c>
      <c r="N20" s="197">
        <f t="shared" si="1"/>
        <v>0</v>
      </c>
      <c r="O20" s="197">
        <f t="shared" si="1"/>
        <v>0</v>
      </c>
      <c r="P20" s="197">
        <f t="shared" si="1"/>
        <v>0</v>
      </c>
      <c r="Q20" s="197">
        <f t="shared" si="1"/>
        <v>0</v>
      </c>
      <c r="R20" s="192"/>
    </row>
    <row r="21" spans="1:18" ht="12.75">
      <c r="A21" s="184" t="s">
        <v>128</v>
      </c>
      <c r="B21" s="185"/>
      <c r="C21" s="186">
        <f>G14</f>
        <v>13053000</v>
      </c>
      <c r="D21" s="194"/>
      <c r="E21" s="194"/>
      <c r="F21" s="194"/>
      <c r="G21" s="195">
        <f>C21</f>
        <v>13053000</v>
      </c>
      <c r="H21" s="186">
        <f>L14</f>
        <v>14722000.000000002</v>
      </c>
      <c r="I21" s="194"/>
      <c r="J21" s="194"/>
      <c r="K21" s="194"/>
      <c r="L21" s="196">
        <f>H21</f>
        <v>14722000.000000002</v>
      </c>
      <c r="M21" s="190">
        <f t="shared" si="2"/>
        <v>1669000.0000000019</v>
      </c>
      <c r="N21" s="197">
        <f t="shared" si="1"/>
        <v>0</v>
      </c>
      <c r="O21" s="197">
        <f t="shared" si="1"/>
        <v>0</v>
      </c>
      <c r="P21" s="197">
        <f t="shared" si="1"/>
        <v>0</v>
      </c>
      <c r="Q21" s="197">
        <f t="shared" si="1"/>
        <v>1669000.0000000019</v>
      </c>
      <c r="R21" s="192"/>
    </row>
    <row r="22" spans="1:18" ht="12.75">
      <c r="A22" s="184" t="s">
        <v>38</v>
      </c>
      <c r="B22" s="185"/>
      <c r="C22" s="186">
        <f>D22+E22+F22+G22</f>
        <v>38106300</v>
      </c>
      <c r="D22" s="187">
        <f aca="true" t="shared" si="3" ref="D22:L22">D24+D28+D40+D43+D48+D59+D47</f>
        <v>25040000</v>
      </c>
      <c r="E22" s="187">
        <f t="shared" si="3"/>
        <v>0</v>
      </c>
      <c r="F22" s="187">
        <f t="shared" si="3"/>
        <v>0</v>
      </c>
      <c r="G22" s="188">
        <f t="shared" si="3"/>
        <v>13066300</v>
      </c>
      <c r="H22" s="186">
        <f t="shared" si="3"/>
        <v>40233312.95</v>
      </c>
      <c r="I22" s="187">
        <f t="shared" si="3"/>
        <v>25218346.67</v>
      </c>
      <c r="J22" s="187">
        <f t="shared" si="3"/>
        <v>0</v>
      </c>
      <c r="K22" s="187">
        <f t="shared" si="3"/>
        <v>0</v>
      </c>
      <c r="L22" s="187">
        <f t="shared" si="3"/>
        <v>15014966.280000001</v>
      </c>
      <c r="M22" s="190">
        <f t="shared" si="2"/>
        <v>2127012.950000003</v>
      </c>
      <c r="N22" s="191">
        <f t="shared" si="1"/>
        <v>178346.6700000018</v>
      </c>
      <c r="O22" s="191">
        <f t="shared" si="1"/>
        <v>0</v>
      </c>
      <c r="P22" s="191">
        <f t="shared" si="1"/>
        <v>0</v>
      </c>
      <c r="Q22" s="191">
        <f t="shared" si="1"/>
        <v>1948666.2800000012</v>
      </c>
      <c r="R22" s="199"/>
    </row>
    <row r="23" spans="1:18" ht="12.75">
      <c r="A23" s="193" t="s">
        <v>33</v>
      </c>
      <c r="B23" s="185"/>
      <c r="C23" s="186"/>
      <c r="D23" s="200"/>
      <c r="E23" s="200"/>
      <c r="F23" s="200"/>
      <c r="G23" s="201"/>
      <c r="H23" s="186"/>
      <c r="I23" s="200"/>
      <c r="J23" s="200"/>
      <c r="K23" s="200"/>
      <c r="L23" s="202"/>
      <c r="M23" s="190"/>
      <c r="N23" s="197">
        <f t="shared" si="1"/>
        <v>0</v>
      </c>
      <c r="O23" s="197">
        <f t="shared" si="1"/>
        <v>0</v>
      </c>
      <c r="P23" s="197">
        <f t="shared" si="1"/>
        <v>0</v>
      </c>
      <c r="Q23" s="197">
        <f t="shared" si="1"/>
        <v>0</v>
      </c>
      <c r="R23" s="199"/>
    </row>
    <row r="24" spans="1:18" ht="31.5">
      <c r="A24" s="203" t="s">
        <v>105</v>
      </c>
      <c r="B24" s="204">
        <v>210</v>
      </c>
      <c r="C24" s="186">
        <f aca="true" t="shared" si="4" ref="C24:C64">D24+E24+F24+G24</f>
        <v>24744000</v>
      </c>
      <c r="D24" s="187">
        <f>D25+D26+D27</f>
        <v>20506000</v>
      </c>
      <c r="E24" s="187">
        <f aca="true" t="shared" si="5" ref="E24:L24">E25+E26+E27</f>
        <v>0</v>
      </c>
      <c r="F24" s="187">
        <f t="shared" si="5"/>
        <v>0</v>
      </c>
      <c r="G24" s="188">
        <f t="shared" si="5"/>
        <v>4238000</v>
      </c>
      <c r="H24" s="186">
        <f t="shared" si="5"/>
        <v>26031629.67</v>
      </c>
      <c r="I24" s="187">
        <f t="shared" si="5"/>
        <v>20625829.67</v>
      </c>
      <c r="J24" s="187">
        <f t="shared" si="5"/>
        <v>0</v>
      </c>
      <c r="K24" s="187">
        <f t="shared" si="5"/>
        <v>0</v>
      </c>
      <c r="L24" s="189">
        <f t="shared" si="5"/>
        <v>5405800</v>
      </c>
      <c r="M24" s="190">
        <f t="shared" si="2"/>
        <v>1287629.6700000018</v>
      </c>
      <c r="N24" s="191">
        <f t="shared" si="1"/>
        <v>119829.67000000179</v>
      </c>
      <c r="O24" s="191">
        <f t="shared" si="1"/>
        <v>0</v>
      </c>
      <c r="P24" s="191">
        <f t="shared" si="1"/>
        <v>0</v>
      </c>
      <c r="Q24" s="191">
        <f t="shared" si="1"/>
        <v>1167800</v>
      </c>
      <c r="R24" s="199"/>
    </row>
    <row r="25" spans="1:18" ht="12.75">
      <c r="A25" s="184" t="s">
        <v>39</v>
      </c>
      <c r="B25" s="185">
        <v>211</v>
      </c>
      <c r="C25" s="186">
        <f t="shared" si="4"/>
        <v>19000000</v>
      </c>
      <c r="D25" s="295">
        <v>15750000</v>
      </c>
      <c r="E25" s="205"/>
      <c r="F25" s="205"/>
      <c r="G25" s="206">
        <v>3250000</v>
      </c>
      <c r="H25" s="186">
        <f aca="true" t="shared" si="6" ref="H25:H64">I25+J25+K25+L25</f>
        <v>20350219</v>
      </c>
      <c r="I25" s="194">
        <f>'Касс. план Обл. бюдж.'!D25</f>
        <v>16202719</v>
      </c>
      <c r="J25" s="194">
        <f>'Касс.пл. ХМАО'!D25</f>
        <v>0</v>
      </c>
      <c r="K25" s="194">
        <f>'Субсидия (50500)'!D24</f>
        <v>0</v>
      </c>
      <c r="L25" s="195">
        <f>'Касс.пл.Внеб.(50300)СВОД'!D31</f>
        <v>4147500</v>
      </c>
      <c r="M25" s="190">
        <f t="shared" si="2"/>
        <v>1350219</v>
      </c>
      <c r="N25" s="197">
        <f t="shared" si="1"/>
        <v>452719</v>
      </c>
      <c r="O25" s="197">
        <f t="shared" si="1"/>
        <v>0</v>
      </c>
      <c r="P25" s="197">
        <f t="shared" si="1"/>
        <v>0</v>
      </c>
      <c r="Q25" s="197">
        <f t="shared" si="1"/>
        <v>897500</v>
      </c>
      <c r="R25" s="192"/>
    </row>
    <row r="26" spans="1:18" ht="12.75">
      <c r="A26" s="184" t="s">
        <v>41</v>
      </c>
      <c r="B26" s="185">
        <v>212</v>
      </c>
      <c r="C26" s="186">
        <f t="shared" si="4"/>
        <v>6000</v>
      </c>
      <c r="D26" s="205">
        <v>6000</v>
      </c>
      <c r="E26" s="205"/>
      <c r="F26" s="205"/>
      <c r="G26" s="206"/>
      <c r="H26" s="186">
        <f t="shared" si="6"/>
        <v>6000</v>
      </c>
      <c r="I26" s="194">
        <f>'Касс. план Обл. бюдж.'!D26</f>
        <v>6000</v>
      </c>
      <c r="J26" s="194">
        <f>'Касс.пл. ХМАО'!D26</f>
        <v>0</v>
      </c>
      <c r="K26" s="194">
        <f>'Субсидия (50500)'!D25</f>
        <v>0</v>
      </c>
      <c r="L26" s="195">
        <f>'Касс.пл.Внеб.(50300)СВОД'!D32</f>
        <v>0</v>
      </c>
      <c r="M26" s="190">
        <f t="shared" si="2"/>
        <v>0</v>
      </c>
      <c r="N26" s="197">
        <f t="shared" si="1"/>
        <v>0</v>
      </c>
      <c r="O26" s="197">
        <f t="shared" si="1"/>
        <v>0</v>
      </c>
      <c r="P26" s="197">
        <f t="shared" si="1"/>
        <v>0</v>
      </c>
      <c r="Q26" s="197">
        <f t="shared" si="1"/>
        <v>0</v>
      </c>
      <c r="R26" s="199"/>
    </row>
    <row r="27" spans="1:18" ht="12.75">
      <c r="A27" s="184" t="s">
        <v>42</v>
      </c>
      <c r="B27" s="185">
        <v>213</v>
      </c>
      <c r="C27" s="186">
        <f t="shared" si="4"/>
        <v>5738000</v>
      </c>
      <c r="D27" s="295">
        <v>4750000</v>
      </c>
      <c r="E27" s="205"/>
      <c r="F27" s="205"/>
      <c r="G27" s="206">
        <v>988000</v>
      </c>
      <c r="H27" s="186">
        <f t="shared" si="6"/>
        <v>5675410.67</v>
      </c>
      <c r="I27" s="194">
        <f>'Касс. план Обл. бюдж.'!D27</f>
        <v>4417110.67</v>
      </c>
      <c r="J27" s="194">
        <f>'Касс.пл. ХМАО'!D27</f>
        <v>0</v>
      </c>
      <c r="K27" s="194">
        <f>'Субсидия (50500)'!D26</f>
        <v>0</v>
      </c>
      <c r="L27" s="195">
        <f>'Касс.пл.Внеб.(50300)СВОД'!D33</f>
        <v>1258300</v>
      </c>
      <c r="M27" s="190">
        <f t="shared" si="2"/>
        <v>-62589.330000000075</v>
      </c>
      <c r="N27" s="197">
        <f t="shared" si="1"/>
        <v>-332889.3300000001</v>
      </c>
      <c r="O27" s="197">
        <f t="shared" si="1"/>
        <v>0</v>
      </c>
      <c r="P27" s="197">
        <f t="shared" si="1"/>
        <v>0</v>
      </c>
      <c r="Q27" s="197">
        <f t="shared" si="1"/>
        <v>270300</v>
      </c>
      <c r="R27" s="192"/>
    </row>
    <row r="28" spans="1:18" ht="15.75">
      <c r="A28" s="203" t="s">
        <v>44</v>
      </c>
      <c r="B28" s="204">
        <v>220</v>
      </c>
      <c r="C28" s="186">
        <f t="shared" si="4"/>
        <v>5314300</v>
      </c>
      <c r="D28" s="187">
        <f>D30+D31+D32+D33+D34+D37</f>
        <v>4108000</v>
      </c>
      <c r="E28" s="207">
        <f aca="true" t="shared" si="7" ref="E28:L28">E30+E31+E32+E33+E34+E37</f>
        <v>0</v>
      </c>
      <c r="F28" s="207">
        <f t="shared" si="7"/>
        <v>0</v>
      </c>
      <c r="G28" s="188">
        <f t="shared" si="7"/>
        <v>1206300</v>
      </c>
      <c r="H28" s="186">
        <f t="shared" si="7"/>
        <v>5941017</v>
      </c>
      <c r="I28" s="187">
        <f>I30+I31+I32+I33+I34+I37</f>
        <v>4154517</v>
      </c>
      <c r="J28" s="187">
        <f t="shared" si="7"/>
        <v>0</v>
      </c>
      <c r="K28" s="187">
        <f>K30+K31+K32+K33+K34+K37</f>
        <v>0</v>
      </c>
      <c r="L28" s="189">
        <f t="shared" si="7"/>
        <v>1786500</v>
      </c>
      <c r="M28" s="190">
        <f t="shared" si="2"/>
        <v>626717</v>
      </c>
      <c r="N28" s="191">
        <f t="shared" si="1"/>
        <v>46517</v>
      </c>
      <c r="O28" s="191">
        <f t="shared" si="1"/>
        <v>0</v>
      </c>
      <c r="P28" s="191">
        <f t="shared" si="1"/>
        <v>0</v>
      </c>
      <c r="Q28" s="191">
        <f t="shared" si="1"/>
        <v>580200</v>
      </c>
      <c r="R28" s="199"/>
    </row>
    <row r="29" spans="1:18" ht="11.25" customHeight="1">
      <c r="A29" s="193" t="s">
        <v>32</v>
      </c>
      <c r="B29" s="185"/>
      <c r="C29" s="186"/>
      <c r="D29" s="205"/>
      <c r="E29" s="208"/>
      <c r="F29" s="208"/>
      <c r="G29" s="206"/>
      <c r="H29" s="186"/>
      <c r="I29" s="194"/>
      <c r="J29" s="194"/>
      <c r="K29" s="194"/>
      <c r="L29" s="196"/>
      <c r="M29" s="190">
        <f aca="true" t="shared" si="8" ref="M29:M47">N29+O29+P29+Q29</f>
        <v>0</v>
      </c>
      <c r="N29" s="191">
        <f aca="true" t="shared" si="9" ref="N29:N47">I29-D29</f>
        <v>0</v>
      </c>
      <c r="O29" s="191">
        <f aca="true" t="shared" si="10" ref="O29:O47">J29-E29</f>
        <v>0</v>
      </c>
      <c r="P29" s="191">
        <f aca="true" t="shared" si="11" ref="P29:P47">K29-F29</f>
        <v>0</v>
      </c>
      <c r="Q29" s="191">
        <f aca="true" t="shared" si="12" ref="Q29:Q47">L29-G29</f>
        <v>0</v>
      </c>
      <c r="R29" s="199"/>
    </row>
    <row r="30" spans="1:18" ht="12.75">
      <c r="A30" s="184" t="s">
        <v>46</v>
      </c>
      <c r="B30" s="185">
        <v>221</v>
      </c>
      <c r="C30" s="186">
        <f t="shared" si="4"/>
        <v>112000</v>
      </c>
      <c r="D30" s="205">
        <v>112000</v>
      </c>
      <c r="E30" s="205"/>
      <c r="F30" s="205"/>
      <c r="G30" s="206"/>
      <c r="H30" s="186">
        <f>I30+J30+K30+L30</f>
        <v>112000</v>
      </c>
      <c r="I30" s="194">
        <f>'Касс. план Обл. бюдж.'!D30</f>
        <v>112000</v>
      </c>
      <c r="J30" s="194">
        <f>'Касс.пл. ХМАО'!D30</f>
        <v>0</v>
      </c>
      <c r="K30" s="194">
        <f>'Субсидия (50500)'!D29</f>
        <v>0</v>
      </c>
      <c r="L30" s="195">
        <f>'Касс.пл.Внеб.(50300)СВОД'!D36</f>
        <v>0</v>
      </c>
      <c r="M30" s="190">
        <f t="shared" si="8"/>
        <v>0</v>
      </c>
      <c r="N30" s="191">
        <f t="shared" si="9"/>
        <v>0</v>
      </c>
      <c r="O30" s="191">
        <f t="shared" si="10"/>
        <v>0</v>
      </c>
      <c r="P30" s="191">
        <f t="shared" si="11"/>
        <v>0</v>
      </c>
      <c r="Q30" s="191">
        <f t="shared" si="12"/>
        <v>0</v>
      </c>
      <c r="R30" s="276"/>
    </row>
    <row r="31" spans="1:18" ht="12.75">
      <c r="A31" s="184" t="s">
        <v>48</v>
      </c>
      <c r="B31" s="185">
        <v>222</v>
      </c>
      <c r="C31" s="186">
        <f t="shared" si="4"/>
        <v>10000</v>
      </c>
      <c r="D31" s="205">
        <v>10000</v>
      </c>
      <c r="E31" s="205"/>
      <c r="F31" s="205"/>
      <c r="G31" s="206"/>
      <c r="H31" s="186">
        <f t="shared" si="6"/>
        <v>10000</v>
      </c>
      <c r="I31" s="194">
        <f>'Касс. план Обл. бюдж.'!D31</f>
        <v>10000</v>
      </c>
      <c r="J31" s="194">
        <f>'Касс.пл. ХМАО'!D31</f>
        <v>0</v>
      </c>
      <c r="K31" s="194">
        <f>'Субсидия (50500)'!D30</f>
        <v>0</v>
      </c>
      <c r="L31" s="195">
        <f>'Касс.пл.Внеб.(50300)СВОД'!D37</f>
        <v>0</v>
      </c>
      <c r="M31" s="190">
        <f t="shared" si="8"/>
        <v>0</v>
      </c>
      <c r="N31" s="191">
        <f t="shared" si="9"/>
        <v>0</v>
      </c>
      <c r="O31" s="191">
        <f t="shared" si="10"/>
        <v>0</v>
      </c>
      <c r="P31" s="191">
        <f t="shared" si="11"/>
        <v>0</v>
      </c>
      <c r="Q31" s="191">
        <f t="shared" si="12"/>
        <v>0</v>
      </c>
      <c r="R31" s="199"/>
    </row>
    <row r="32" spans="1:18" ht="13.5" customHeight="1">
      <c r="A32" s="184" t="s">
        <v>50</v>
      </c>
      <c r="B32" s="185">
        <v>223</v>
      </c>
      <c r="C32" s="186">
        <f t="shared" si="4"/>
        <v>2424000</v>
      </c>
      <c r="D32" s="297">
        <v>2215000</v>
      </c>
      <c r="E32" s="297"/>
      <c r="F32" s="205"/>
      <c r="G32" s="206">
        <v>209000</v>
      </c>
      <c r="H32" s="186">
        <f t="shared" si="6"/>
        <v>2424000</v>
      </c>
      <c r="I32" s="194">
        <f>'Касс. план Обл. бюдж.'!D32</f>
        <v>2215000</v>
      </c>
      <c r="J32" s="194">
        <f>'Касс.пл. ХМАО'!D32</f>
        <v>0</v>
      </c>
      <c r="K32" s="194">
        <f>'Субсидия (50500)'!D31</f>
        <v>0</v>
      </c>
      <c r="L32" s="195">
        <f>'Касс.пл.Внеб.(50300)СВОД'!D38</f>
        <v>209000</v>
      </c>
      <c r="M32" s="190">
        <f t="shared" si="8"/>
        <v>0</v>
      </c>
      <c r="N32" s="191">
        <f t="shared" si="9"/>
        <v>0</v>
      </c>
      <c r="O32" s="191">
        <f t="shared" si="10"/>
        <v>0</v>
      </c>
      <c r="P32" s="191">
        <f t="shared" si="11"/>
        <v>0</v>
      </c>
      <c r="Q32" s="191">
        <f t="shared" si="12"/>
        <v>0</v>
      </c>
      <c r="R32" s="276"/>
    </row>
    <row r="33" spans="1:18" ht="12.75">
      <c r="A33" s="184" t="s">
        <v>52</v>
      </c>
      <c r="B33" s="185">
        <v>224</v>
      </c>
      <c r="C33" s="186">
        <f t="shared" si="4"/>
        <v>0</v>
      </c>
      <c r="D33" s="205"/>
      <c r="E33" s="205"/>
      <c r="F33" s="205"/>
      <c r="G33" s="206"/>
      <c r="H33" s="186">
        <f t="shared" si="6"/>
        <v>0</v>
      </c>
      <c r="I33" s="194">
        <f>'Касс. план Обл. бюдж.'!D33</f>
        <v>0</v>
      </c>
      <c r="J33" s="194">
        <f>'Касс.пл. ХМАО'!D33</f>
        <v>0</v>
      </c>
      <c r="K33" s="194">
        <f>'Субсидия (50500)'!D32</f>
        <v>0</v>
      </c>
      <c r="L33" s="195">
        <f>'Касс.пл.Внеб.(50300)СВОД'!D39</f>
        <v>0</v>
      </c>
      <c r="M33" s="190">
        <f t="shared" si="8"/>
        <v>0</v>
      </c>
      <c r="N33" s="191">
        <f t="shared" si="9"/>
        <v>0</v>
      </c>
      <c r="O33" s="191">
        <f t="shared" si="10"/>
        <v>0</v>
      </c>
      <c r="P33" s="191">
        <f t="shared" si="11"/>
        <v>0</v>
      </c>
      <c r="Q33" s="191">
        <f t="shared" si="12"/>
        <v>0</v>
      </c>
      <c r="R33" s="199"/>
    </row>
    <row r="34" spans="1:18" ht="12.75">
      <c r="A34" s="184" t="s">
        <v>54</v>
      </c>
      <c r="B34" s="185">
        <v>225</v>
      </c>
      <c r="C34" s="186">
        <f t="shared" si="4"/>
        <v>1136000</v>
      </c>
      <c r="D34" s="205">
        <v>679000</v>
      </c>
      <c r="E34" s="205"/>
      <c r="F34" s="205"/>
      <c r="G34" s="206">
        <v>457000</v>
      </c>
      <c r="H34" s="186">
        <f t="shared" si="6"/>
        <v>2082017</v>
      </c>
      <c r="I34" s="194">
        <f>'Касс. план Обл. бюдж.'!D34</f>
        <v>1585517</v>
      </c>
      <c r="J34" s="194">
        <f>'Касс.пл. ХМАО'!D34</f>
        <v>0</v>
      </c>
      <c r="K34" s="194">
        <f>'Субсидия (50500)'!D33</f>
        <v>0</v>
      </c>
      <c r="L34" s="195">
        <f>'Касс.пл.Внеб.(50300)СВОД'!D40</f>
        <v>496500</v>
      </c>
      <c r="M34" s="190">
        <f t="shared" si="8"/>
        <v>946017</v>
      </c>
      <c r="N34" s="191">
        <f t="shared" si="9"/>
        <v>906517</v>
      </c>
      <c r="O34" s="191">
        <f t="shared" si="10"/>
        <v>0</v>
      </c>
      <c r="P34" s="191">
        <f t="shared" si="11"/>
        <v>0</v>
      </c>
      <c r="Q34" s="191">
        <f t="shared" si="12"/>
        <v>39500</v>
      </c>
      <c r="R34" s="192"/>
    </row>
    <row r="35" spans="1:18" ht="12.75">
      <c r="A35" s="184" t="s">
        <v>32</v>
      </c>
      <c r="B35" s="185"/>
      <c r="C35" s="186"/>
      <c r="D35" s="205"/>
      <c r="E35" s="205"/>
      <c r="F35" s="205"/>
      <c r="G35" s="206"/>
      <c r="H35" s="186">
        <f aca="true" t="shared" si="13" ref="H35:H36">I35+J35+K35+L35</f>
        <v>0</v>
      </c>
      <c r="I35" s="194">
        <f>'Касс. план Обл. бюдж.'!D35</f>
        <v>0</v>
      </c>
      <c r="J35" s="194">
        <f>'Касс.пл. ХМАО'!D35</f>
        <v>0</v>
      </c>
      <c r="K35" s="194">
        <f>'Субсидия (50500)'!D34</f>
        <v>0</v>
      </c>
      <c r="L35" s="195">
        <f>'Касс.пл.Внеб.(50300)СВОД'!D41</f>
        <v>0</v>
      </c>
      <c r="M35" s="190">
        <f t="shared" si="8"/>
        <v>0</v>
      </c>
      <c r="N35" s="191">
        <f t="shared" si="9"/>
        <v>0</v>
      </c>
      <c r="O35" s="191">
        <f t="shared" si="10"/>
        <v>0</v>
      </c>
      <c r="P35" s="191">
        <f t="shared" si="11"/>
        <v>0</v>
      </c>
      <c r="Q35" s="191">
        <f t="shared" si="12"/>
        <v>0</v>
      </c>
      <c r="R35" s="192"/>
    </row>
    <row r="36" spans="1:18" ht="12.75">
      <c r="A36" s="184" t="s">
        <v>204</v>
      </c>
      <c r="B36" s="185"/>
      <c r="C36" s="186">
        <f t="shared" si="4"/>
        <v>40000</v>
      </c>
      <c r="D36" s="205">
        <v>29000</v>
      </c>
      <c r="E36" s="205"/>
      <c r="F36" s="205"/>
      <c r="G36" s="206">
        <v>11000</v>
      </c>
      <c r="H36" s="186">
        <f t="shared" si="13"/>
        <v>40000</v>
      </c>
      <c r="I36" s="194">
        <f>'Касс. план Обл. бюдж.'!D36</f>
        <v>29000</v>
      </c>
      <c r="J36" s="194">
        <f>'Касс.пл. ХМАО'!D36</f>
        <v>0</v>
      </c>
      <c r="K36" s="194">
        <f>'Субсидия (50500)'!D35</f>
        <v>0</v>
      </c>
      <c r="L36" s="195">
        <f>'Касс.пл.Внеб.(50300)СВОД'!D42</f>
        <v>11000</v>
      </c>
      <c r="M36" s="190">
        <f t="shared" si="8"/>
        <v>0</v>
      </c>
      <c r="N36" s="191">
        <f t="shared" si="9"/>
        <v>0</v>
      </c>
      <c r="O36" s="191">
        <f t="shared" si="10"/>
        <v>0</v>
      </c>
      <c r="P36" s="191">
        <f t="shared" si="11"/>
        <v>0</v>
      </c>
      <c r="Q36" s="191">
        <f t="shared" si="12"/>
        <v>0</v>
      </c>
      <c r="R36" s="192"/>
    </row>
    <row r="37" spans="1:18" ht="12.75">
      <c r="A37" s="184" t="s">
        <v>110</v>
      </c>
      <c r="B37" s="185">
        <v>226</v>
      </c>
      <c r="C37" s="186">
        <f t="shared" si="4"/>
        <v>1632300</v>
      </c>
      <c r="D37" s="205">
        <v>1092000</v>
      </c>
      <c r="E37" s="205"/>
      <c r="F37" s="205"/>
      <c r="G37" s="206">
        <v>540300</v>
      </c>
      <c r="H37" s="186">
        <f t="shared" si="6"/>
        <v>1313000</v>
      </c>
      <c r="I37" s="194">
        <f>'Касс. план Обл. бюдж.'!D37</f>
        <v>232000</v>
      </c>
      <c r="J37" s="194">
        <f>'Касс.пл. ХМАО'!D37</f>
        <v>0</v>
      </c>
      <c r="K37" s="194">
        <f>'Субсидия (50500)'!D36</f>
        <v>0</v>
      </c>
      <c r="L37" s="195">
        <f>'Касс.пл.Внеб.(50300)СВОД'!D43</f>
        <v>1081000</v>
      </c>
      <c r="M37" s="190">
        <f t="shared" si="8"/>
        <v>-319300</v>
      </c>
      <c r="N37" s="191">
        <f t="shared" si="9"/>
        <v>-860000</v>
      </c>
      <c r="O37" s="191">
        <f t="shared" si="10"/>
        <v>0</v>
      </c>
      <c r="P37" s="191">
        <f t="shared" si="11"/>
        <v>0</v>
      </c>
      <c r="Q37" s="191">
        <f t="shared" si="12"/>
        <v>540700</v>
      </c>
      <c r="R37" s="192"/>
    </row>
    <row r="38" spans="1:18" ht="12.75">
      <c r="A38" s="57" t="s">
        <v>32</v>
      </c>
      <c r="B38" s="185"/>
      <c r="C38" s="186"/>
      <c r="D38" s="205"/>
      <c r="E38" s="205"/>
      <c r="F38" s="205"/>
      <c r="G38" s="206"/>
      <c r="H38" s="186">
        <f aca="true" t="shared" si="14" ref="H38:H39">I38+J38+K38+L38</f>
        <v>0</v>
      </c>
      <c r="I38" s="194">
        <f>'Касс. план Обл. бюдж.'!D38</f>
        <v>0</v>
      </c>
      <c r="J38" s="194">
        <f>'Касс.пл. ХМАО'!D38</f>
        <v>0</v>
      </c>
      <c r="K38" s="194">
        <f>'Субсидия (50500)'!D37</f>
        <v>0</v>
      </c>
      <c r="L38" s="195">
        <f>'Касс.пл.Внеб.(50300)СВОД'!D44</f>
        <v>0</v>
      </c>
      <c r="M38" s="190">
        <f t="shared" si="8"/>
        <v>0</v>
      </c>
      <c r="N38" s="191">
        <f t="shared" si="9"/>
        <v>0</v>
      </c>
      <c r="O38" s="191">
        <f t="shared" si="10"/>
        <v>0</v>
      </c>
      <c r="P38" s="191">
        <f t="shared" si="11"/>
        <v>0</v>
      </c>
      <c r="Q38" s="191">
        <f t="shared" si="12"/>
        <v>0</v>
      </c>
      <c r="R38" s="192"/>
    </row>
    <row r="39" spans="1:18" ht="12.75">
      <c r="A39" s="57" t="s">
        <v>205</v>
      </c>
      <c r="B39" s="185"/>
      <c r="C39" s="186">
        <f t="shared" si="4"/>
        <v>0</v>
      </c>
      <c r="D39" s="205"/>
      <c r="E39" s="205"/>
      <c r="F39" s="205"/>
      <c r="G39" s="206"/>
      <c r="H39" s="186">
        <f t="shared" si="14"/>
        <v>0</v>
      </c>
      <c r="I39" s="194">
        <f>'Касс. план Обл. бюдж.'!D39</f>
        <v>0</v>
      </c>
      <c r="J39" s="194">
        <f>'Касс.пл. ХМАО'!D39</f>
        <v>0</v>
      </c>
      <c r="K39" s="194">
        <f>'Субсидия (50500)'!D38</f>
        <v>0</v>
      </c>
      <c r="L39" s="195">
        <f>'Касс.пл.Внеб.(50300)СВОД'!D45</f>
        <v>0</v>
      </c>
      <c r="M39" s="190">
        <f t="shared" si="8"/>
        <v>0</v>
      </c>
      <c r="N39" s="191">
        <f t="shared" si="9"/>
        <v>0</v>
      </c>
      <c r="O39" s="191">
        <f t="shared" si="10"/>
        <v>0</v>
      </c>
      <c r="P39" s="191">
        <f t="shared" si="11"/>
        <v>0</v>
      </c>
      <c r="Q39" s="191">
        <f t="shared" si="12"/>
        <v>0</v>
      </c>
      <c r="R39" s="192"/>
    </row>
    <row r="40" spans="1:18" ht="31.5">
      <c r="A40" s="203" t="s">
        <v>103</v>
      </c>
      <c r="B40" s="204">
        <v>240</v>
      </c>
      <c r="C40" s="209">
        <f t="shared" si="4"/>
        <v>0</v>
      </c>
      <c r="D40" s="207">
        <f>D42</f>
        <v>0</v>
      </c>
      <c r="E40" s="207">
        <f aca="true" t="shared" si="15" ref="E40:L40">E42</f>
        <v>0</v>
      </c>
      <c r="F40" s="207">
        <f t="shared" si="15"/>
        <v>0</v>
      </c>
      <c r="G40" s="210">
        <f t="shared" si="15"/>
        <v>0</v>
      </c>
      <c r="H40" s="186">
        <f t="shared" si="15"/>
        <v>0</v>
      </c>
      <c r="I40" s="187">
        <f t="shared" si="15"/>
        <v>0</v>
      </c>
      <c r="J40" s="187">
        <f t="shared" si="15"/>
        <v>0</v>
      </c>
      <c r="K40" s="187">
        <f t="shared" si="15"/>
        <v>0</v>
      </c>
      <c r="L40" s="189">
        <f t="shared" si="15"/>
        <v>0</v>
      </c>
      <c r="M40" s="190">
        <f t="shared" si="8"/>
        <v>0</v>
      </c>
      <c r="N40" s="191">
        <f t="shared" si="9"/>
        <v>0</v>
      </c>
      <c r="O40" s="191">
        <f t="shared" si="10"/>
        <v>0</v>
      </c>
      <c r="P40" s="191">
        <f t="shared" si="11"/>
        <v>0</v>
      </c>
      <c r="Q40" s="191">
        <f t="shared" si="12"/>
        <v>0</v>
      </c>
      <c r="R40" s="199"/>
    </row>
    <row r="41" spans="1:18" ht="12.75" customHeight="1">
      <c r="A41" s="193" t="s">
        <v>32</v>
      </c>
      <c r="B41" s="185"/>
      <c r="C41" s="209"/>
      <c r="D41" s="208"/>
      <c r="E41" s="208"/>
      <c r="F41" s="208"/>
      <c r="G41" s="211"/>
      <c r="H41" s="186"/>
      <c r="I41" s="194"/>
      <c r="J41" s="194"/>
      <c r="K41" s="194"/>
      <c r="L41" s="196"/>
      <c r="M41" s="190">
        <f t="shared" si="8"/>
        <v>0</v>
      </c>
      <c r="N41" s="191">
        <f t="shared" si="9"/>
        <v>0</v>
      </c>
      <c r="O41" s="191">
        <f t="shared" si="10"/>
        <v>0</v>
      </c>
      <c r="P41" s="191">
        <f t="shared" si="11"/>
        <v>0</v>
      </c>
      <c r="Q41" s="191">
        <f t="shared" si="12"/>
        <v>0</v>
      </c>
      <c r="R41" s="199"/>
    </row>
    <row r="42" spans="1:18" ht="30">
      <c r="A42" s="184" t="s">
        <v>104</v>
      </c>
      <c r="B42" s="185">
        <v>241</v>
      </c>
      <c r="C42" s="209">
        <f t="shared" si="4"/>
        <v>0</v>
      </c>
      <c r="D42" s="208"/>
      <c r="E42" s="208"/>
      <c r="F42" s="208"/>
      <c r="G42" s="211"/>
      <c r="H42" s="186">
        <f t="shared" si="6"/>
        <v>0</v>
      </c>
      <c r="I42" s="194">
        <f>'Касс. план Обл. бюдж.'!D42</f>
        <v>0</v>
      </c>
      <c r="J42" s="194">
        <f>'Касс.пл. ХМАО'!D42</f>
        <v>0</v>
      </c>
      <c r="K42" s="194">
        <f>'Субсидия (50500)'!D41</f>
        <v>0</v>
      </c>
      <c r="L42" s="195">
        <f>'Касс.пл.Внеб.(50300)СВОД'!D48</f>
        <v>0</v>
      </c>
      <c r="M42" s="190">
        <f t="shared" si="8"/>
        <v>0</v>
      </c>
      <c r="N42" s="191">
        <f t="shared" si="9"/>
        <v>0</v>
      </c>
      <c r="O42" s="191">
        <f t="shared" si="10"/>
        <v>0</v>
      </c>
      <c r="P42" s="191">
        <f t="shared" si="11"/>
        <v>0</v>
      </c>
      <c r="Q42" s="191">
        <f t="shared" si="12"/>
        <v>0</v>
      </c>
      <c r="R42" s="199"/>
    </row>
    <row r="43" spans="1:18" ht="15.75">
      <c r="A43" s="203" t="s">
        <v>56</v>
      </c>
      <c r="B43" s="204">
        <v>260</v>
      </c>
      <c r="C43" s="209">
        <f t="shared" si="4"/>
        <v>0</v>
      </c>
      <c r="D43" s="207">
        <f>D45+D46</f>
        <v>0</v>
      </c>
      <c r="E43" s="207">
        <f aca="true" t="shared" si="16" ref="E43:L43">E45+E46</f>
        <v>0</v>
      </c>
      <c r="F43" s="207">
        <f t="shared" si="16"/>
        <v>0</v>
      </c>
      <c r="G43" s="210">
        <f t="shared" si="16"/>
        <v>0</v>
      </c>
      <c r="H43" s="186">
        <f t="shared" si="16"/>
        <v>0</v>
      </c>
      <c r="I43" s="187">
        <f t="shared" si="16"/>
        <v>0</v>
      </c>
      <c r="J43" s="187">
        <f t="shared" si="16"/>
        <v>0</v>
      </c>
      <c r="K43" s="187">
        <f t="shared" si="16"/>
        <v>0</v>
      </c>
      <c r="L43" s="189">
        <f t="shared" si="16"/>
        <v>0</v>
      </c>
      <c r="M43" s="190">
        <f t="shared" si="8"/>
        <v>0</v>
      </c>
      <c r="N43" s="191">
        <f t="shared" si="9"/>
        <v>0</v>
      </c>
      <c r="O43" s="191">
        <f t="shared" si="10"/>
        <v>0</v>
      </c>
      <c r="P43" s="191">
        <f t="shared" si="11"/>
        <v>0</v>
      </c>
      <c r="Q43" s="191">
        <f t="shared" si="12"/>
        <v>0</v>
      </c>
      <c r="R43" s="199"/>
    </row>
    <row r="44" spans="1:18" ht="12" customHeight="1">
      <c r="A44" s="193" t="s">
        <v>32</v>
      </c>
      <c r="B44" s="185"/>
      <c r="C44" s="209">
        <f t="shared" si="4"/>
        <v>0</v>
      </c>
      <c r="D44" s="208"/>
      <c r="E44" s="208"/>
      <c r="F44" s="208"/>
      <c r="G44" s="211"/>
      <c r="H44" s="186"/>
      <c r="I44" s="194"/>
      <c r="J44" s="194"/>
      <c r="K44" s="194"/>
      <c r="L44" s="196"/>
      <c r="M44" s="190">
        <f t="shared" si="8"/>
        <v>0</v>
      </c>
      <c r="N44" s="191">
        <f t="shared" si="9"/>
        <v>0</v>
      </c>
      <c r="O44" s="191">
        <f t="shared" si="10"/>
        <v>0</v>
      </c>
      <c r="P44" s="191">
        <f t="shared" si="11"/>
        <v>0</v>
      </c>
      <c r="Q44" s="191">
        <f t="shared" si="12"/>
        <v>0</v>
      </c>
      <c r="R44" s="199"/>
    </row>
    <row r="45" spans="1:18" ht="12.75">
      <c r="A45" s="184" t="s">
        <v>58</v>
      </c>
      <c r="B45" s="185">
        <v>262</v>
      </c>
      <c r="C45" s="209">
        <f t="shared" si="4"/>
        <v>0</v>
      </c>
      <c r="D45" s="208"/>
      <c r="E45" s="208"/>
      <c r="F45" s="208"/>
      <c r="G45" s="211"/>
      <c r="H45" s="186">
        <f t="shared" si="6"/>
        <v>0</v>
      </c>
      <c r="I45" s="194">
        <f>'Касс. план Обл. бюдж.'!D45</f>
        <v>0</v>
      </c>
      <c r="J45" s="194">
        <f>'Касс.пл. ХМАО'!D45</f>
        <v>0</v>
      </c>
      <c r="K45" s="194">
        <f>'Субсидия (50500)'!D44</f>
        <v>0</v>
      </c>
      <c r="L45" s="195">
        <f>'Касс.пл.Внеб.(50300)СВОД'!D51</f>
        <v>0</v>
      </c>
      <c r="M45" s="190">
        <f t="shared" si="8"/>
        <v>0</v>
      </c>
      <c r="N45" s="191">
        <f t="shared" si="9"/>
        <v>0</v>
      </c>
      <c r="O45" s="191">
        <f t="shared" si="10"/>
        <v>0</v>
      </c>
      <c r="P45" s="191">
        <f t="shared" si="11"/>
        <v>0</v>
      </c>
      <c r="Q45" s="191">
        <f t="shared" si="12"/>
        <v>0</v>
      </c>
      <c r="R45" s="199"/>
    </row>
    <row r="46" spans="1:18" ht="30">
      <c r="A46" s="184" t="s">
        <v>60</v>
      </c>
      <c r="B46" s="185">
        <v>263</v>
      </c>
      <c r="C46" s="209">
        <f t="shared" si="4"/>
        <v>0</v>
      </c>
      <c r="D46" s="208"/>
      <c r="E46" s="208"/>
      <c r="F46" s="208"/>
      <c r="G46" s="211"/>
      <c r="H46" s="186">
        <f t="shared" si="6"/>
        <v>0</v>
      </c>
      <c r="I46" s="194">
        <f>'Касс. план Обл. бюдж.'!D46</f>
        <v>0</v>
      </c>
      <c r="J46" s="194">
        <f>'Касс.пл. ХМАО'!D46</f>
        <v>0</v>
      </c>
      <c r="K46" s="194">
        <f>'Субсидия (50500)'!D45</f>
        <v>0</v>
      </c>
      <c r="L46" s="195">
        <f>'Касс.пл.Внеб.(50300)СВОД'!D52</f>
        <v>0</v>
      </c>
      <c r="M46" s="190">
        <f t="shared" si="8"/>
        <v>0</v>
      </c>
      <c r="N46" s="191">
        <f t="shared" si="9"/>
        <v>0</v>
      </c>
      <c r="O46" s="191">
        <f t="shared" si="10"/>
        <v>0</v>
      </c>
      <c r="P46" s="191">
        <f t="shared" si="11"/>
        <v>0</v>
      </c>
      <c r="Q46" s="191">
        <f t="shared" si="12"/>
        <v>0</v>
      </c>
      <c r="R46" s="199"/>
    </row>
    <row r="47" spans="1:18" ht="15.75">
      <c r="A47" s="203" t="s">
        <v>62</v>
      </c>
      <c r="B47" s="204">
        <v>290</v>
      </c>
      <c r="C47" s="186">
        <f t="shared" si="4"/>
        <v>107000</v>
      </c>
      <c r="D47" s="212">
        <v>32000</v>
      </c>
      <c r="E47" s="212"/>
      <c r="F47" s="212"/>
      <c r="G47" s="213">
        <v>75000</v>
      </c>
      <c r="H47" s="186">
        <f t="shared" si="6"/>
        <v>107000</v>
      </c>
      <c r="I47" s="187">
        <f>'Касс. план Обл. бюдж.'!D47</f>
        <v>32000</v>
      </c>
      <c r="J47" s="187">
        <f>'Касс.пл. ХМАО'!D47</f>
        <v>0</v>
      </c>
      <c r="K47" s="187">
        <f>'Субсидия (50500)'!D46</f>
        <v>0</v>
      </c>
      <c r="L47" s="188">
        <f>'Касс.пл.Внеб.(50300)СВОД'!D53</f>
        <v>75000</v>
      </c>
      <c r="M47" s="190">
        <f t="shared" si="8"/>
        <v>0</v>
      </c>
      <c r="N47" s="191">
        <f t="shared" si="9"/>
        <v>0</v>
      </c>
      <c r="O47" s="191">
        <f t="shared" si="10"/>
        <v>0</v>
      </c>
      <c r="P47" s="191">
        <f t="shared" si="11"/>
        <v>0</v>
      </c>
      <c r="Q47" s="191">
        <f t="shared" si="12"/>
        <v>0</v>
      </c>
      <c r="R47" s="192"/>
    </row>
    <row r="48" spans="1:18" ht="15.75">
      <c r="A48" s="203" t="s">
        <v>64</v>
      </c>
      <c r="B48" s="204">
        <v>300</v>
      </c>
      <c r="C48" s="186">
        <f t="shared" si="4"/>
        <v>7941000</v>
      </c>
      <c r="D48" s="187">
        <f>D50+D51+D52+D53</f>
        <v>394000</v>
      </c>
      <c r="E48" s="187">
        <f aca="true" t="shared" si="17" ref="E48:L48">E50+E51+E52+E53</f>
        <v>0</v>
      </c>
      <c r="F48" s="187">
        <f t="shared" si="17"/>
        <v>0</v>
      </c>
      <c r="G48" s="188">
        <f t="shared" si="17"/>
        <v>7547000</v>
      </c>
      <c r="H48" s="186">
        <f t="shared" si="17"/>
        <v>8153666.28</v>
      </c>
      <c r="I48" s="187">
        <f t="shared" si="17"/>
        <v>406000</v>
      </c>
      <c r="J48" s="187">
        <f t="shared" si="17"/>
        <v>0</v>
      </c>
      <c r="K48" s="187">
        <f t="shared" si="17"/>
        <v>0</v>
      </c>
      <c r="L48" s="189">
        <f t="shared" si="17"/>
        <v>7747666.28</v>
      </c>
      <c r="M48" s="190">
        <f aca="true" t="shared" si="18" ref="M48:M64">N48+O48+P48+Q48</f>
        <v>212666.28000000026</v>
      </c>
      <c r="N48" s="191">
        <f aca="true" t="shared" si="19" ref="N48:N64">I48-D48</f>
        <v>12000</v>
      </c>
      <c r="O48" s="191">
        <f aca="true" t="shared" si="20" ref="O48:O64">J48-E48</f>
        <v>0</v>
      </c>
      <c r="P48" s="191">
        <f aca="true" t="shared" si="21" ref="P48:P64">K48-F48</f>
        <v>0</v>
      </c>
      <c r="Q48" s="191">
        <f aca="true" t="shared" si="22" ref="Q48:Q64">L48-G48</f>
        <v>200666.28000000026</v>
      </c>
      <c r="R48" s="199"/>
    </row>
    <row r="49" spans="1:18" ht="11.25" customHeight="1">
      <c r="A49" s="193" t="s">
        <v>32</v>
      </c>
      <c r="B49" s="185"/>
      <c r="C49" s="186"/>
      <c r="D49" s="205"/>
      <c r="E49" s="205"/>
      <c r="F49" s="205"/>
      <c r="G49" s="206"/>
      <c r="H49" s="186"/>
      <c r="I49" s="194"/>
      <c r="J49" s="194"/>
      <c r="K49" s="194"/>
      <c r="L49" s="196"/>
      <c r="M49" s="190">
        <f t="shared" si="18"/>
        <v>0</v>
      </c>
      <c r="N49" s="191">
        <f t="shared" si="19"/>
        <v>0</v>
      </c>
      <c r="O49" s="191">
        <f t="shared" si="20"/>
        <v>0</v>
      </c>
      <c r="P49" s="191">
        <f t="shared" si="21"/>
        <v>0</v>
      </c>
      <c r="Q49" s="191">
        <f t="shared" si="22"/>
        <v>0</v>
      </c>
      <c r="R49" s="199"/>
    </row>
    <row r="50" spans="1:18" ht="12.75">
      <c r="A50" s="184" t="s">
        <v>66</v>
      </c>
      <c r="B50" s="185" t="s">
        <v>162</v>
      </c>
      <c r="C50" s="186">
        <f t="shared" si="4"/>
        <v>838000</v>
      </c>
      <c r="D50" s="205">
        <v>64000</v>
      </c>
      <c r="E50" s="205"/>
      <c r="F50" s="205"/>
      <c r="G50" s="206">
        <v>774000</v>
      </c>
      <c r="H50" s="186">
        <f t="shared" si="6"/>
        <v>1021000</v>
      </c>
      <c r="I50" s="194">
        <f>'Касс. план Обл. бюдж.'!D50</f>
        <v>0</v>
      </c>
      <c r="J50" s="194">
        <f>'Касс.пл. ХМАО'!D50</f>
        <v>0</v>
      </c>
      <c r="K50" s="194">
        <f>'Субсидия (50500)'!D49</f>
        <v>0</v>
      </c>
      <c r="L50" s="195">
        <f>'Касс.пл.Внеб.(50300)СВОД'!D56</f>
        <v>1021000</v>
      </c>
      <c r="M50" s="190">
        <f t="shared" si="18"/>
        <v>183000</v>
      </c>
      <c r="N50" s="191">
        <f t="shared" si="19"/>
        <v>-64000</v>
      </c>
      <c r="O50" s="191">
        <f t="shared" si="20"/>
        <v>0</v>
      </c>
      <c r="P50" s="191">
        <f t="shared" si="21"/>
        <v>0</v>
      </c>
      <c r="Q50" s="191">
        <f t="shared" si="22"/>
        <v>247000</v>
      </c>
      <c r="R50" s="192"/>
    </row>
    <row r="51" spans="1:18" ht="12.75">
      <c r="A51" s="184" t="s">
        <v>68</v>
      </c>
      <c r="B51" s="185">
        <v>320</v>
      </c>
      <c r="C51" s="186">
        <f t="shared" si="4"/>
        <v>0</v>
      </c>
      <c r="D51" s="205"/>
      <c r="E51" s="205"/>
      <c r="F51" s="205"/>
      <c r="G51" s="206"/>
      <c r="H51" s="186">
        <f t="shared" si="6"/>
        <v>0</v>
      </c>
      <c r="I51" s="194">
        <f>'Касс. план Обл. бюдж.'!D51</f>
        <v>0</v>
      </c>
      <c r="J51" s="194">
        <f>'Касс.пл. ХМАО'!D51</f>
        <v>0</v>
      </c>
      <c r="K51" s="194">
        <f>'Субсидия (50500)'!D50</f>
        <v>0</v>
      </c>
      <c r="L51" s="195">
        <f>'Касс.пл.Внеб.(50300)СВОД'!D57</f>
        <v>0</v>
      </c>
      <c r="M51" s="190">
        <f t="shared" si="18"/>
        <v>0</v>
      </c>
      <c r="N51" s="191">
        <f t="shared" si="19"/>
        <v>0</v>
      </c>
      <c r="O51" s="191">
        <f t="shared" si="20"/>
        <v>0</v>
      </c>
      <c r="P51" s="191">
        <f t="shared" si="21"/>
        <v>0</v>
      </c>
      <c r="Q51" s="191">
        <f t="shared" si="22"/>
        <v>0</v>
      </c>
      <c r="R51" s="199"/>
    </row>
    <row r="52" spans="1:18" ht="30">
      <c r="A52" s="184" t="s">
        <v>80</v>
      </c>
      <c r="B52" s="185">
        <v>330</v>
      </c>
      <c r="C52" s="186">
        <f t="shared" si="4"/>
        <v>0</v>
      </c>
      <c r="D52" s="205"/>
      <c r="E52" s="205"/>
      <c r="F52" s="205"/>
      <c r="G52" s="206"/>
      <c r="H52" s="186">
        <f t="shared" si="6"/>
        <v>0</v>
      </c>
      <c r="I52" s="194">
        <f>'Касс. план Обл. бюдж.'!D52</f>
        <v>0</v>
      </c>
      <c r="J52" s="194">
        <f>'Касс.пл. ХМАО'!D52</f>
        <v>0</v>
      </c>
      <c r="K52" s="194">
        <f>'Субсидия (50500)'!D51</f>
        <v>0</v>
      </c>
      <c r="L52" s="195">
        <f>'Касс.пл.Внеб.(50300)СВОД'!D58</f>
        <v>0</v>
      </c>
      <c r="M52" s="190">
        <f t="shared" si="18"/>
        <v>0</v>
      </c>
      <c r="N52" s="191">
        <f t="shared" si="19"/>
        <v>0</v>
      </c>
      <c r="O52" s="191">
        <f t="shared" si="20"/>
        <v>0</v>
      </c>
      <c r="P52" s="191">
        <f t="shared" si="21"/>
        <v>0</v>
      </c>
      <c r="Q52" s="191">
        <f t="shared" si="22"/>
        <v>0</v>
      </c>
      <c r="R52" s="199"/>
    </row>
    <row r="53" spans="1:18" ht="12.75">
      <c r="A53" s="184" t="s">
        <v>70</v>
      </c>
      <c r="B53" s="185" t="s">
        <v>163</v>
      </c>
      <c r="C53" s="186">
        <f>D53+E53+F53+G53</f>
        <v>7103000</v>
      </c>
      <c r="D53" s="205">
        <v>330000</v>
      </c>
      <c r="E53" s="205"/>
      <c r="F53" s="205"/>
      <c r="G53" s="206">
        <v>6773000</v>
      </c>
      <c r="H53" s="186">
        <f t="shared" si="6"/>
        <v>7132666.28</v>
      </c>
      <c r="I53" s="194">
        <f>'Касс. план Обл. бюдж.'!D53</f>
        <v>406000</v>
      </c>
      <c r="J53" s="194">
        <f>'Касс.пл. ХМАО'!D53</f>
        <v>0</v>
      </c>
      <c r="K53" s="194">
        <f>'Субсидия (50500)'!D52</f>
        <v>0</v>
      </c>
      <c r="L53" s="195">
        <f>'Касс.пл.Внеб.(50300)СВОД'!D59</f>
        <v>6726666.28</v>
      </c>
      <c r="M53" s="190">
        <f t="shared" si="18"/>
        <v>29666.28000000026</v>
      </c>
      <c r="N53" s="191">
        <f t="shared" si="19"/>
        <v>76000</v>
      </c>
      <c r="O53" s="191">
        <f t="shared" si="20"/>
        <v>0</v>
      </c>
      <c r="P53" s="191">
        <f t="shared" si="21"/>
        <v>0</v>
      </c>
      <c r="Q53" s="191">
        <f t="shared" si="22"/>
        <v>-46333.71999999974</v>
      </c>
      <c r="R53" s="277"/>
    </row>
    <row r="54" spans="1:18" ht="12.75">
      <c r="A54" s="184" t="s">
        <v>32</v>
      </c>
      <c r="B54" s="185"/>
      <c r="C54" s="186"/>
      <c r="D54" s="205"/>
      <c r="E54" s="205"/>
      <c r="F54" s="205"/>
      <c r="G54" s="206"/>
      <c r="H54" s="186">
        <f aca="true" t="shared" si="23" ref="H54:H58">I54+J54+K54+L54</f>
        <v>0</v>
      </c>
      <c r="I54" s="194">
        <f>'Касс. план Обл. бюдж.'!D54</f>
        <v>0</v>
      </c>
      <c r="J54" s="194">
        <f>'Касс.пл. ХМАО'!D54</f>
        <v>0</v>
      </c>
      <c r="K54" s="194">
        <f>'Субсидия (50500)'!D53</f>
        <v>0</v>
      </c>
      <c r="L54" s="195">
        <f>'Касс.пл.Внеб.(50300)СВОД'!D60</f>
        <v>0</v>
      </c>
      <c r="M54" s="190">
        <f t="shared" si="18"/>
        <v>0</v>
      </c>
      <c r="N54" s="191">
        <f t="shared" si="19"/>
        <v>0</v>
      </c>
      <c r="O54" s="191">
        <f t="shared" si="20"/>
        <v>0</v>
      </c>
      <c r="P54" s="191">
        <f t="shared" si="21"/>
        <v>0</v>
      </c>
      <c r="Q54" s="191">
        <f t="shared" si="22"/>
        <v>0</v>
      </c>
      <c r="R54" s="277"/>
    </row>
    <row r="55" spans="1:18" ht="12.75">
      <c r="A55" s="184" t="s">
        <v>206</v>
      </c>
      <c r="B55" s="185"/>
      <c r="C55" s="186">
        <f t="shared" si="4"/>
        <v>5097252.28</v>
      </c>
      <c r="D55" s="205">
        <v>330000</v>
      </c>
      <c r="E55" s="205"/>
      <c r="F55" s="205"/>
      <c r="G55" s="206">
        <v>4767252.28</v>
      </c>
      <c r="H55" s="186">
        <f t="shared" si="23"/>
        <v>4947251.28</v>
      </c>
      <c r="I55" s="194">
        <f>'Касс. план Обл. бюдж.'!D55</f>
        <v>330000</v>
      </c>
      <c r="J55" s="194">
        <f>'Касс.пл. ХМАО'!D55</f>
        <v>0</v>
      </c>
      <c r="K55" s="194">
        <f>'Субсидия (50500)'!D54</f>
        <v>0</v>
      </c>
      <c r="L55" s="195">
        <f>'Касс.пл.Внеб.(50300)СВОД'!D61</f>
        <v>4617251.28</v>
      </c>
      <c r="M55" s="190">
        <f t="shared" si="18"/>
        <v>-150001</v>
      </c>
      <c r="N55" s="191">
        <f t="shared" si="19"/>
        <v>0</v>
      </c>
      <c r="O55" s="191">
        <f t="shared" si="20"/>
        <v>0</v>
      </c>
      <c r="P55" s="191">
        <f t="shared" si="21"/>
        <v>0</v>
      </c>
      <c r="Q55" s="191">
        <f t="shared" si="22"/>
        <v>-150001</v>
      </c>
      <c r="R55" s="277"/>
    </row>
    <row r="56" spans="1:18" ht="12.75">
      <c r="A56" s="184" t="s">
        <v>207</v>
      </c>
      <c r="B56" s="185"/>
      <c r="C56" s="186">
        <f t="shared" si="4"/>
        <v>166085</v>
      </c>
      <c r="D56" s="205"/>
      <c r="E56" s="205"/>
      <c r="F56" s="205"/>
      <c r="G56" s="206">
        <v>166085</v>
      </c>
      <c r="H56" s="186">
        <f t="shared" si="23"/>
        <v>182085</v>
      </c>
      <c r="I56" s="194">
        <f>'Касс. план Обл. бюдж.'!D56</f>
        <v>16000</v>
      </c>
      <c r="J56" s="194">
        <f>'Касс.пл. ХМАО'!D56</f>
        <v>0</v>
      </c>
      <c r="K56" s="194">
        <f>'Субсидия (50500)'!D55</f>
        <v>0</v>
      </c>
      <c r="L56" s="195">
        <f>'Касс.пл.Внеб.(50300)СВОД'!D62</f>
        <v>166085</v>
      </c>
      <c r="M56" s="190">
        <f t="shared" si="18"/>
        <v>16000</v>
      </c>
      <c r="N56" s="191">
        <f t="shared" si="19"/>
        <v>16000</v>
      </c>
      <c r="O56" s="191">
        <f t="shared" si="20"/>
        <v>0</v>
      </c>
      <c r="P56" s="191">
        <f t="shared" si="21"/>
        <v>0</v>
      </c>
      <c r="Q56" s="191">
        <f t="shared" si="22"/>
        <v>0</v>
      </c>
      <c r="R56" s="277"/>
    </row>
    <row r="57" spans="1:18" ht="12.75">
      <c r="A57" s="184" t="s">
        <v>208</v>
      </c>
      <c r="B57" s="185"/>
      <c r="C57" s="186">
        <f t="shared" si="4"/>
        <v>454358</v>
      </c>
      <c r="D57" s="205"/>
      <c r="E57" s="205"/>
      <c r="F57" s="205"/>
      <c r="G57" s="206">
        <v>454358</v>
      </c>
      <c r="H57" s="186">
        <f t="shared" si="23"/>
        <v>454358</v>
      </c>
      <c r="I57" s="194">
        <f>'Касс. план Обл. бюдж.'!D57</f>
        <v>0</v>
      </c>
      <c r="J57" s="194">
        <f>'Касс.пл. ХМАО'!D57</f>
        <v>0</v>
      </c>
      <c r="K57" s="194">
        <f>'Субсидия (50500)'!D56</f>
        <v>0</v>
      </c>
      <c r="L57" s="195">
        <f>'Касс.пл.Внеб.(50300)СВОД'!D63</f>
        <v>454358</v>
      </c>
      <c r="M57" s="190">
        <f t="shared" si="18"/>
        <v>0</v>
      </c>
      <c r="N57" s="191">
        <f t="shared" si="19"/>
        <v>0</v>
      </c>
      <c r="O57" s="191">
        <f t="shared" si="20"/>
        <v>0</v>
      </c>
      <c r="P57" s="191">
        <f t="shared" si="21"/>
        <v>0</v>
      </c>
      <c r="Q57" s="191">
        <f t="shared" si="22"/>
        <v>0</v>
      </c>
      <c r="R57" s="277"/>
    </row>
    <row r="58" spans="1:18" ht="12.75">
      <c r="A58" s="184" t="s">
        <v>209</v>
      </c>
      <c r="B58" s="185"/>
      <c r="C58" s="186">
        <f t="shared" si="4"/>
        <v>550207</v>
      </c>
      <c r="D58" s="205"/>
      <c r="E58" s="205"/>
      <c r="F58" s="205"/>
      <c r="G58" s="206">
        <v>550207</v>
      </c>
      <c r="H58" s="186">
        <f t="shared" si="23"/>
        <v>592207</v>
      </c>
      <c r="I58" s="194">
        <f>'Касс. план Обл. бюдж.'!D58</f>
        <v>42000</v>
      </c>
      <c r="J58" s="194">
        <f>'Касс.пл. ХМАО'!D58</f>
        <v>0</v>
      </c>
      <c r="K58" s="194">
        <f>'Субсидия (50500)'!D57</f>
        <v>0</v>
      </c>
      <c r="L58" s="195">
        <f>'Касс.пл.Внеб.(50300)СВОД'!D64</f>
        <v>550207</v>
      </c>
      <c r="M58" s="190">
        <f t="shared" si="18"/>
        <v>42000</v>
      </c>
      <c r="N58" s="191">
        <f t="shared" si="19"/>
        <v>42000</v>
      </c>
      <c r="O58" s="191">
        <f t="shared" si="20"/>
        <v>0</v>
      </c>
      <c r="P58" s="191">
        <f t="shared" si="21"/>
        <v>0</v>
      </c>
      <c r="Q58" s="191">
        <f t="shared" si="22"/>
        <v>0</v>
      </c>
      <c r="R58" s="277"/>
    </row>
    <row r="59" spans="1:18" ht="15.75">
      <c r="A59" s="203" t="s">
        <v>72</v>
      </c>
      <c r="B59" s="204">
        <v>500</v>
      </c>
      <c r="C59" s="186">
        <f t="shared" si="4"/>
        <v>0</v>
      </c>
      <c r="D59" s="187">
        <f>D61+D62</f>
        <v>0</v>
      </c>
      <c r="E59" s="187">
        <f aca="true" t="shared" si="24" ref="E59:H59">E61+E62</f>
        <v>0</v>
      </c>
      <c r="F59" s="187">
        <f t="shared" si="24"/>
        <v>0</v>
      </c>
      <c r="G59" s="188">
        <f t="shared" si="24"/>
        <v>0</v>
      </c>
      <c r="H59" s="186">
        <f t="shared" si="24"/>
        <v>0</v>
      </c>
      <c r="I59" s="194">
        <f>'Касс. план Обл. бюдж.'!D59</f>
        <v>0</v>
      </c>
      <c r="J59" s="194">
        <f>'Касс.пл. ХМАО'!D59</f>
        <v>0</v>
      </c>
      <c r="K59" s="194">
        <f>'Субсидия (50500)'!D58</f>
        <v>0</v>
      </c>
      <c r="L59" s="195">
        <f>'Касс.пл.Внеб.(50300)СВОД'!D65</f>
        <v>0</v>
      </c>
      <c r="M59" s="190">
        <f t="shared" si="18"/>
        <v>0</v>
      </c>
      <c r="N59" s="191">
        <f t="shared" si="19"/>
        <v>0</v>
      </c>
      <c r="O59" s="191">
        <f t="shared" si="20"/>
        <v>0</v>
      </c>
      <c r="P59" s="191">
        <f t="shared" si="21"/>
        <v>0</v>
      </c>
      <c r="Q59" s="191">
        <f t="shared" si="22"/>
        <v>0</v>
      </c>
      <c r="R59" s="199"/>
    </row>
    <row r="60" spans="1:18" ht="12" customHeight="1">
      <c r="A60" s="193" t="s">
        <v>32</v>
      </c>
      <c r="B60" s="185"/>
      <c r="C60" s="186"/>
      <c r="D60" s="205"/>
      <c r="E60" s="205"/>
      <c r="F60" s="205"/>
      <c r="G60" s="206"/>
      <c r="H60" s="186"/>
      <c r="I60" s="194"/>
      <c r="J60" s="194"/>
      <c r="K60" s="194"/>
      <c r="L60" s="196"/>
      <c r="M60" s="190">
        <f t="shared" si="18"/>
        <v>0</v>
      </c>
      <c r="N60" s="191">
        <f t="shared" si="19"/>
        <v>0</v>
      </c>
      <c r="O60" s="191">
        <f t="shared" si="20"/>
        <v>0</v>
      </c>
      <c r="P60" s="191">
        <f t="shared" si="21"/>
        <v>0</v>
      </c>
      <c r="Q60" s="191">
        <f t="shared" si="22"/>
        <v>0</v>
      </c>
      <c r="R60" s="199"/>
    </row>
    <row r="61" spans="1:18" ht="30">
      <c r="A61" s="184" t="s">
        <v>74</v>
      </c>
      <c r="B61" s="185">
        <v>520</v>
      </c>
      <c r="C61" s="186">
        <f t="shared" si="4"/>
        <v>0</v>
      </c>
      <c r="D61" s="205"/>
      <c r="E61" s="205"/>
      <c r="F61" s="205"/>
      <c r="G61" s="206"/>
      <c r="H61" s="186">
        <f t="shared" si="6"/>
        <v>0</v>
      </c>
      <c r="I61" s="194">
        <f>'Касс. план Обл. бюдж.'!D61</f>
        <v>0</v>
      </c>
      <c r="J61" s="194">
        <f>'Касс.пл. ХМАО'!D61</f>
        <v>0</v>
      </c>
      <c r="K61" s="194">
        <f>'Субсидия (50500)'!D60</f>
        <v>0</v>
      </c>
      <c r="L61" s="195">
        <f>'Касс.пл.Внеб.(50300)СВОД'!D67</f>
        <v>0</v>
      </c>
      <c r="M61" s="190">
        <f t="shared" si="18"/>
        <v>0</v>
      </c>
      <c r="N61" s="191">
        <f t="shared" si="19"/>
        <v>0</v>
      </c>
      <c r="O61" s="191">
        <f t="shared" si="20"/>
        <v>0</v>
      </c>
      <c r="P61" s="191">
        <f t="shared" si="21"/>
        <v>0</v>
      </c>
      <c r="Q61" s="191">
        <f t="shared" si="22"/>
        <v>0</v>
      </c>
      <c r="R61" s="199"/>
    </row>
    <row r="62" spans="1:18" ht="30">
      <c r="A62" s="184" t="s">
        <v>76</v>
      </c>
      <c r="B62" s="185">
        <v>530</v>
      </c>
      <c r="C62" s="186">
        <f t="shared" si="4"/>
        <v>0</v>
      </c>
      <c r="D62" s="205"/>
      <c r="E62" s="205"/>
      <c r="F62" s="205"/>
      <c r="G62" s="206"/>
      <c r="H62" s="186">
        <f t="shared" si="6"/>
        <v>0</v>
      </c>
      <c r="I62" s="194">
        <f>'Касс. план Обл. бюдж.'!D62</f>
        <v>0</v>
      </c>
      <c r="J62" s="194">
        <f>'Касс.пл. ХМАО'!D62</f>
        <v>0</v>
      </c>
      <c r="K62" s="194">
        <f>'Субсидия (50500)'!D61</f>
        <v>0</v>
      </c>
      <c r="L62" s="195">
        <f>'Касс.пл.Внеб.(50300)СВОД'!D68</f>
        <v>0</v>
      </c>
      <c r="M62" s="190">
        <f t="shared" si="18"/>
        <v>0</v>
      </c>
      <c r="N62" s="191">
        <f t="shared" si="19"/>
        <v>0</v>
      </c>
      <c r="O62" s="191">
        <f t="shared" si="20"/>
        <v>0</v>
      </c>
      <c r="P62" s="191">
        <f t="shared" si="21"/>
        <v>0</v>
      </c>
      <c r="Q62" s="191">
        <f t="shared" si="22"/>
        <v>0</v>
      </c>
      <c r="R62" s="199"/>
    </row>
    <row r="63" spans="1:18" ht="12" customHeight="1">
      <c r="A63" s="193" t="s">
        <v>78</v>
      </c>
      <c r="B63" s="185"/>
      <c r="C63" s="186"/>
      <c r="D63" s="205"/>
      <c r="E63" s="205"/>
      <c r="F63" s="205"/>
      <c r="G63" s="206"/>
      <c r="H63" s="186"/>
      <c r="I63" s="194"/>
      <c r="J63" s="194"/>
      <c r="K63" s="194"/>
      <c r="L63" s="195"/>
      <c r="M63" s="190">
        <f t="shared" si="18"/>
        <v>0</v>
      </c>
      <c r="N63" s="191">
        <f t="shared" si="19"/>
        <v>0</v>
      </c>
      <c r="O63" s="191">
        <f t="shared" si="20"/>
        <v>0</v>
      </c>
      <c r="P63" s="191">
        <f t="shared" si="21"/>
        <v>0</v>
      </c>
      <c r="Q63" s="191">
        <f t="shared" si="22"/>
        <v>0</v>
      </c>
      <c r="R63" s="199"/>
    </row>
    <row r="64" spans="1:18" ht="15.75" thickBot="1">
      <c r="A64" s="214" t="s">
        <v>79</v>
      </c>
      <c r="B64" s="215" t="s">
        <v>36</v>
      </c>
      <c r="C64" s="216">
        <f t="shared" si="4"/>
        <v>0</v>
      </c>
      <c r="D64" s="217"/>
      <c r="E64" s="217"/>
      <c r="F64" s="217"/>
      <c r="G64" s="218"/>
      <c r="H64" s="219">
        <f t="shared" si="6"/>
        <v>0</v>
      </c>
      <c r="I64" s="194">
        <f>'Касс. план Обл. бюдж.'!D64</f>
        <v>0</v>
      </c>
      <c r="J64" s="194">
        <f>'Касс.пл. ХМАО'!D64</f>
        <v>0</v>
      </c>
      <c r="K64" s="194">
        <f>'Субсидия (50500)'!D63</f>
        <v>0</v>
      </c>
      <c r="L64" s="195">
        <f>'Касс.пл.Внеб.(50300)СВОД'!D70</f>
        <v>0</v>
      </c>
      <c r="M64" s="190">
        <f t="shared" si="18"/>
        <v>0</v>
      </c>
      <c r="N64" s="191">
        <f t="shared" si="19"/>
        <v>0</v>
      </c>
      <c r="O64" s="191">
        <f t="shared" si="20"/>
        <v>0</v>
      </c>
      <c r="P64" s="191">
        <f t="shared" si="21"/>
        <v>0</v>
      </c>
      <c r="Q64" s="191">
        <f t="shared" si="22"/>
        <v>0</v>
      </c>
      <c r="R64" s="221"/>
    </row>
    <row r="65" spans="1:18" ht="15.75">
      <c r="A65" s="222" t="s">
        <v>164</v>
      </c>
      <c r="B65" s="223" t="s">
        <v>36</v>
      </c>
      <c r="C65" s="224">
        <f>D65+E65+F65+G65</f>
        <v>38093000</v>
      </c>
      <c r="D65" s="224">
        <f>D14</f>
        <v>25040000</v>
      </c>
      <c r="E65" s="224">
        <f>E14</f>
        <v>0</v>
      </c>
      <c r="F65" s="224">
        <f>F14</f>
        <v>0</v>
      </c>
      <c r="G65" s="224">
        <f>G14</f>
        <v>13053000</v>
      </c>
      <c r="H65" s="224">
        <f>I65+J65+K65+L65</f>
        <v>39762000</v>
      </c>
      <c r="I65" s="224">
        <f aca="true" t="shared" si="25" ref="I65:Q65">I14</f>
        <v>25040000</v>
      </c>
      <c r="J65" s="224">
        <f t="shared" si="25"/>
        <v>0</v>
      </c>
      <c r="K65" s="224">
        <f t="shared" si="25"/>
        <v>0</v>
      </c>
      <c r="L65" s="224">
        <f t="shared" si="25"/>
        <v>14722000.000000002</v>
      </c>
      <c r="M65" s="225">
        <f t="shared" si="25"/>
        <v>2585025.900000003</v>
      </c>
      <c r="N65" s="225">
        <f t="shared" si="25"/>
        <v>356693.34000000183</v>
      </c>
      <c r="O65" s="225">
        <f t="shared" si="25"/>
        <v>0</v>
      </c>
      <c r="P65" s="225">
        <f t="shared" si="25"/>
        <v>0</v>
      </c>
      <c r="Q65" s="225">
        <f t="shared" si="25"/>
        <v>2228332.5600000015</v>
      </c>
      <c r="R65" s="226"/>
    </row>
    <row r="66" spans="1:18" ht="15.75">
      <c r="A66" s="227" t="s">
        <v>165</v>
      </c>
      <c r="B66" s="228" t="s">
        <v>36</v>
      </c>
      <c r="C66" s="229">
        <f>D66+E66+F66+G66</f>
        <v>0</v>
      </c>
      <c r="D66" s="205"/>
      <c r="E66" s="205"/>
      <c r="F66" s="205"/>
      <c r="G66" s="205"/>
      <c r="H66" s="229">
        <f>I66+J66+K66+L66</f>
        <v>0</v>
      </c>
      <c r="I66" s="205"/>
      <c r="J66" s="205"/>
      <c r="K66" s="205"/>
      <c r="L66" s="205"/>
      <c r="M66" s="230">
        <f>P66+Q66</f>
        <v>0</v>
      </c>
      <c r="N66" s="231"/>
      <c r="O66" s="232"/>
      <c r="P66" s="232"/>
      <c r="Q66" s="232"/>
      <c r="R66" s="233"/>
    </row>
    <row r="67" spans="1:18" ht="16.5" thickBot="1">
      <c r="A67" s="234" t="s">
        <v>166</v>
      </c>
      <c r="B67" s="235" t="s">
        <v>36</v>
      </c>
      <c r="C67" s="236">
        <f>D67+E67+F67+G67</f>
        <v>0</v>
      </c>
      <c r="D67" s="220"/>
      <c r="E67" s="220"/>
      <c r="F67" s="220"/>
      <c r="G67" s="220"/>
      <c r="H67" s="236">
        <f>I67+J67+K67+L67</f>
        <v>0</v>
      </c>
      <c r="I67" s="220"/>
      <c r="J67" s="220"/>
      <c r="K67" s="220"/>
      <c r="L67" s="220"/>
      <c r="M67" s="237">
        <f>N67+O67</f>
        <v>0</v>
      </c>
      <c r="N67" s="238"/>
      <c r="O67" s="238"/>
      <c r="P67" s="238"/>
      <c r="Q67" s="238"/>
      <c r="R67" s="239"/>
    </row>
    <row r="68" spans="1:18" ht="12.75">
      <c r="A68" s="240"/>
      <c r="B68" s="241"/>
      <c r="C68" s="242"/>
      <c r="D68" s="243"/>
      <c r="E68" s="243"/>
      <c r="F68" s="243"/>
      <c r="G68" s="243"/>
      <c r="H68" s="242"/>
      <c r="I68" s="243"/>
      <c r="J68" s="243"/>
      <c r="K68" s="243"/>
      <c r="L68" s="243"/>
      <c r="M68" s="244"/>
      <c r="N68" s="244"/>
      <c r="O68" s="244"/>
      <c r="P68" s="244"/>
      <c r="Q68" s="244"/>
      <c r="R68" s="243"/>
    </row>
    <row r="69" spans="1:7" ht="12.75">
      <c r="A69" s="382" t="s">
        <v>179</v>
      </c>
      <c r="B69" s="382"/>
      <c r="C69" s="245"/>
      <c r="D69" s="245"/>
      <c r="E69" s="245"/>
      <c r="F69" s="245"/>
      <c r="G69" s="245"/>
    </row>
    <row r="70" spans="1:2" ht="12.75">
      <c r="A70" s="382"/>
      <c r="B70" s="382"/>
    </row>
    <row r="72" ht="18">
      <c r="A72" s="252" t="s">
        <v>199</v>
      </c>
    </row>
    <row r="73" ht="18">
      <c r="A73" s="255"/>
    </row>
    <row r="74" ht="18">
      <c r="A74" s="258" t="s">
        <v>200</v>
      </c>
    </row>
    <row r="75" ht="12.75">
      <c r="A75" s="259"/>
    </row>
    <row r="76" ht="12.75">
      <c r="A76" s="263" t="s">
        <v>215</v>
      </c>
    </row>
    <row r="77" spans="1:3" ht="12.75">
      <c r="A77" s="268" t="s">
        <v>216</v>
      </c>
      <c r="B77" s="247"/>
      <c r="C77" s="247"/>
    </row>
    <row r="78" spans="1:3" ht="12.75">
      <c r="A78" s="246"/>
      <c r="B78" s="247"/>
      <c r="C78" s="247"/>
    </row>
    <row r="79" spans="1:3" ht="12.75">
      <c r="A79" s="246"/>
      <c r="B79" s="247"/>
      <c r="C79" s="247"/>
    </row>
    <row r="80" spans="1:3" s="250" customFormat="1" ht="12.75">
      <c r="A80" s="248"/>
      <c r="B80" s="249"/>
      <c r="C80" s="249"/>
    </row>
    <row r="81" s="250" customFormat="1" ht="12.75">
      <c r="A81" s="251"/>
    </row>
    <row r="82" s="250" customFormat="1" ht="12.75">
      <c r="A82" s="251"/>
    </row>
    <row r="83" spans="2:5" s="250" customFormat="1" ht="15.75">
      <c r="B83" s="253"/>
      <c r="C83" s="254"/>
      <c r="D83" s="254"/>
      <c r="E83" s="254"/>
    </row>
    <row r="84" spans="2:5" s="250" customFormat="1" ht="15.75">
      <c r="B84" s="256"/>
      <c r="C84" s="257"/>
      <c r="D84" s="254"/>
      <c r="E84" s="254"/>
    </row>
    <row r="85" spans="1:5" s="250" customFormat="1" ht="15.75">
      <c r="A85" s="162" t="s">
        <v>167</v>
      </c>
      <c r="B85" s="256"/>
      <c r="C85" s="257"/>
      <c r="D85" s="254"/>
      <c r="E85" s="254"/>
    </row>
    <row r="86" spans="1:5" s="250" customFormat="1" ht="15.75">
      <c r="A86" s="162" t="s">
        <v>168</v>
      </c>
      <c r="B86" s="260"/>
      <c r="C86" s="261"/>
      <c r="D86" s="262"/>
      <c r="E86" s="262"/>
    </row>
    <row r="87" spans="1:5" s="250" customFormat="1" ht="15.75">
      <c r="A87" s="264" t="s">
        <v>169</v>
      </c>
      <c r="B87" s="260"/>
      <c r="C87" s="261"/>
      <c r="D87" s="262"/>
      <c r="E87" s="262"/>
    </row>
    <row r="88" s="250" customFormat="1" ht="12.75">
      <c r="A88" s="264" t="s">
        <v>170</v>
      </c>
    </row>
    <row r="89" s="250" customFormat="1" ht="12.75">
      <c r="A89" s="251"/>
    </row>
    <row r="90" s="250" customFormat="1" ht="12.75">
      <c r="A90" s="251"/>
    </row>
    <row r="91" s="250" customFormat="1" ht="12.75" hidden="1">
      <c r="A91" s="251"/>
    </row>
    <row r="92" ht="12.75" hidden="1"/>
    <row r="94" ht="14.25" customHeight="1"/>
    <row r="95" ht="12.75" hidden="1"/>
    <row r="96" ht="12.75" hidden="1"/>
    <row r="98" ht="9.75" customHeight="1"/>
    <row r="99" ht="12.75" hidden="1"/>
    <row r="100" ht="12.75" hidden="1"/>
    <row r="103" spans="2:5" ht="12.75">
      <c r="B103" s="265"/>
      <c r="C103" s="265"/>
      <c r="D103" s="265"/>
      <c r="E103" s="265"/>
    </row>
    <row r="104" spans="2:5" ht="12.75">
      <c r="B104" s="265"/>
      <c r="C104" s="265"/>
      <c r="D104" s="265"/>
      <c r="E104" s="265"/>
    </row>
  </sheetData>
  <sheetProtection password="C541" sheet="1" objects="1" scenarios="1" formatCells="0" formatColumns="0" formatRows="0" insertHyperlinks="0" autoFilter="0" pivotTables="0"/>
  <mergeCells count="26">
    <mergeCell ref="A69:B70"/>
    <mergeCell ref="H10:H11"/>
    <mergeCell ref="I10:J10"/>
    <mergeCell ref="K10:K11"/>
    <mergeCell ref="L10:L11"/>
    <mergeCell ref="A9:A11"/>
    <mergeCell ref="B9:B11"/>
    <mergeCell ref="C9:G9"/>
    <mergeCell ref="H9:L9"/>
    <mergeCell ref="R9:R11"/>
    <mergeCell ref="C10:C11"/>
    <mergeCell ref="D10:E10"/>
    <mergeCell ref="F10:F11"/>
    <mergeCell ref="G10:G11"/>
    <mergeCell ref="P10:P11"/>
    <mergeCell ref="Q10:Q11"/>
    <mergeCell ref="M10:M11"/>
    <mergeCell ref="N10:O10"/>
    <mergeCell ref="M9:Q9"/>
    <mergeCell ref="C7:K7"/>
    <mergeCell ref="L7:R7"/>
    <mergeCell ref="J2:L2"/>
    <mergeCell ref="C5:K5"/>
    <mergeCell ref="L5:R5"/>
    <mergeCell ref="C6:K6"/>
    <mergeCell ref="L6:R6"/>
  </mergeCells>
  <printOptions/>
  <pageMargins left="0.15748031496062992" right="0.15748031496062992" top="1.1811023622047245" bottom="0.15748031496062992" header="0.15748031496062992" footer="0.15748031496062992"/>
  <pageSetup fitToHeight="0" horizontalDpi="600" verticalDpi="600" orientation="landscape" paperSize="9" scale="3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K74"/>
  <sheetViews>
    <sheetView view="pageBreakPreview" zoomScale="60" workbookViewId="0" topLeftCell="A1">
      <selection activeCell="E32" sqref="E32"/>
    </sheetView>
  </sheetViews>
  <sheetFormatPr defaultColWidth="9.125" defaultRowHeight="12.75"/>
  <cols>
    <col min="1" max="1" width="2.125" style="58" customWidth="1"/>
    <col min="2" max="2" width="46.25390625" style="58" customWidth="1"/>
    <col min="3" max="3" width="8.625" style="58" customWidth="1"/>
    <col min="4" max="4" width="9.125" style="59" customWidth="1"/>
    <col min="5" max="5" width="18.75390625" style="58" customWidth="1"/>
    <col min="6" max="6" width="18.875" style="58" customWidth="1"/>
    <col min="7" max="7" width="19.125" style="58" customWidth="1"/>
    <col min="8" max="8" width="16.125" style="58" customWidth="1"/>
    <col min="9" max="9" width="20.625" style="58" customWidth="1"/>
    <col min="10" max="10" width="17.375" style="58" customWidth="1"/>
    <col min="11" max="11" width="17.75390625" style="58" customWidth="1"/>
    <col min="12" max="16384" width="9.125" style="58" customWidth="1"/>
  </cols>
  <sheetData>
    <row r="1" spans="10:11" ht="12.75">
      <c r="J1" s="395" t="s">
        <v>130</v>
      </c>
      <c r="K1" s="396"/>
    </row>
    <row r="2" ht="12.75">
      <c r="I2" s="71"/>
    </row>
    <row r="3" spans="2:11" ht="18" customHeight="1">
      <c r="B3" s="403" t="s">
        <v>129</v>
      </c>
      <c r="C3" s="403"/>
      <c r="D3" s="404"/>
      <c r="E3" s="404"/>
      <c r="F3" s="404"/>
      <c r="G3" s="404"/>
      <c r="H3" s="404"/>
      <c r="I3" s="404"/>
      <c r="J3" s="404"/>
      <c r="K3" s="404"/>
    </row>
    <row r="5" spans="2:11" s="60" customFormat="1" ht="21" customHeight="1">
      <c r="B5" s="355" t="str">
        <f>'Заголовочный раздел'!B19:V19</f>
        <v>Автономное стационарное учреждение социального обслуживания населения Тюменской области "Ишимский геронтологический центр"</v>
      </c>
      <c r="C5" s="355"/>
      <c r="D5" s="355"/>
      <c r="E5" s="355"/>
      <c r="F5" s="355"/>
      <c r="G5" s="355"/>
      <c r="H5" s="355"/>
      <c r="I5" s="355"/>
      <c r="J5" s="355"/>
      <c r="K5" s="355"/>
    </row>
    <row r="6" spans="2:11" s="60" customFormat="1" ht="15">
      <c r="B6" s="405" t="s">
        <v>119</v>
      </c>
      <c r="C6" s="405"/>
      <c r="D6" s="405"/>
      <c r="E6" s="405"/>
      <c r="F6" s="405"/>
      <c r="G6" s="405"/>
      <c r="H6" s="405"/>
      <c r="I6" s="405"/>
      <c r="J6" s="405"/>
      <c r="K6" s="405"/>
    </row>
    <row r="7" spans="2:11" s="60" customFormat="1" ht="15">
      <c r="B7" s="69"/>
      <c r="C7" s="69"/>
      <c r="D7" s="69"/>
      <c r="E7" s="69"/>
      <c r="F7" s="69"/>
      <c r="G7" s="69"/>
      <c r="H7" s="70"/>
      <c r="I7" s="70"/>
      <c r="J7" s="70"/>
      <c r="K7" s="69"/>
    </row>
    <row r="8" spans="2:11" s="61" customFormat="1" ht="60.75" customHeight="1">
      <c r="B8" s="406" t="s">
        <v>11</v>
      </c>
      <c r="C8" s="407" t="s">
        <v>139</v>
      </c>
      <c r="D8" s="407" t="s">
        <v>35</v>
      </c>
      <c r="E8" s="359" t="s">
        <v>196</v>
      </c>
      <c r="F8" s="397" t="s">
        <v>120</v>
      </c>
      <c r="G8" s="398"/>
      <c r="H8" s="399" t="s">
        <v>121</v>
      </c>
      <c r="I8" s="399" t="s">
        <v>127</v>
      </c>
      <c r="J8" s="401" t="s">
        <v>143</v>
      </c>
      <c r="K8" s="361" t="s">
        <v>197</v>
      </c>
    </row>
    <row r="9" spans="2:11" s="61" customFormat="1" ht="93" customHeight="1">
      <c r="B9" s="407"/>
      <c r="C9" s="407"/>
      <c r="D9" s="407"/>
      <c r="E9" s="359"/>
      <c r="F9" s="68" t="s">
        <v>122</v>
      </c>
      <c r="G9" s="269" t="s">
        <v>180</v>
      </c>
      <c r="H9" s="400"/>
      <c r="I9" s="400"/>
      <c r="J9" s="402"/>
      <c r="K9" s="359"/>
    </row>
    <row r="10" spans="2:11" s="61" customFormat="1" ht="15">
      <c r="B10" s="62">
        <v>1</v>
      </c>
      <c r="C10" s="62"/>
      <c r="D10" s="62">
        <v>2</v>
      </c>
      <c r="E10" s="62" t="s">
        <v>123</v>
      </c>
      <c r="F10" s="63" t="s">
        <v>124</v>
      </c>
      <c r="G10" s="64">
        <v>5</v>
      </c>
      <c r="H10" s="64">
        <v>6</v>
      </c>
      <c r="I10" s="64">
        <v>7</v>
      </c>
      <c r="J10" s="62">
        <v>8</v>
      </c>
      <c r="K10" s="62">
        <v>9</v>
      </c>
    </row>
    <row r="11" spans="2:11" s="61" customFormat="1" ht="15.75">
      <c r="B11" s="67" t="s">
        <v>97</v>
      </c>
      <c r="C11" s="133"/>
      <c r="D11" s="133"/>
      <c r="E11" s="157">
        <f>F11+G11+H11+I11</f>
        <v>471312.95000000007</v>
      </c>
      <c r="F11" s="156">
        <f>'Касс. план Обл. бюдж.'!D19</f>
        <v>178346.67</v>
      </c>
      <c r="G11" s="156">
        <f>'Касс.пл. ХМАО'!D19</f>
        <v>0</v>
      </c>
      <c r="H11" s="156">
        <f>'Субсидия (50500)'!D19</f>
        <v>0</v>
      </c>
      <c r="I11" s="156">
        <f>'Касс.пл.Внеб.(50300)СВОД'!D19</f>
        <v>292966.28</v>
      </c>
      <c r="J11" s="301"/>
      <c r="K11" s="301"/>
    </row>
    <row r="12" spans="2:11" s="61" customFormat="1" ht="15.75">
      <c r="B12" s="67" t="s">
        <v>37</v>
      </c>
      <c r="C12" s="133"/>
      <c r="D12" s="133"/>
      <c r="E12" s="158">
        <f>E32-E11</f>
        <v>39762000</v>
      </c>
      <c r="F12" s="159">
        <f>F32-F11</f>
        <v>25040000</v>
      </c>
      <c r="G12" s="159">
        <f>G32-G11</f>
        <v>0</v>
      </c>
      <c r="H12" s="159">
        <f>H32-H11</f>
        <v>0</v>
      </c>
      <c r="I12" s="159">
        <f>I32-I11</f>
        <v>14722000.000000002</v>
      </c>
      <c r="J12" s="302">
        <f>'Показатели  по поступлениям'!G9</f>
        <v>46046000</v>
      </c>
      <c r="K12" s="302">
        <f>'Показатели  по поступлениям'!H9</f>
        <v>51963000</v>
      </c>
    </row>
    <row r="13" spans="2:11" s="61" customFormat="1" ht="15">
      <c r="B13" s="57" t="s">
        <v>33</v>
      </c>
      <c r="C13" s="133"/>
      <c r="D13" s="133"/>
      <c r="E13" s="157"/>
      <c r="F13" s="156"/>
      <c r="G13" s="156"/>
      <c r="H13" s="156"/>
      <c r="I13" s="156"/>
      <c r="J13" s="301"/>
      <c r="K13" s="301"/>
    </row>
    <row r="14" spans="2:11" s="61" customFormat="1" ht="45">
      <c r="B14" s="65" t="s">
        <v>161</v>
      </c>
      <c r="C14" s="135">
        <v>50400</v>
      </c>
      <c r="D14" s="133">
        <v>180</v>
      </c>
      <c r="E14" s="157">
        <f>E16+E17</f>
        <v>25040000</v>
      </c>
      <c r="F14" s="156"/>
      <c r="G14" s="156"/>
      <c r="H14" s="156"/>
      <c r="I14" s="156"/>
      <c r="J14" s="301">
        <f>J16+J17</f>
        <v>32993000</v>
      </c>
      <c r="K14" s="301">
        <f>K16+K17</f>
        <v>38910000</v>
      </c>
    </row>
    <row r="15" spans="2:11" s="61" customFormat="1" ht="15">
      <c r="B15" s="66" t="s">
        <v>33</v>
      </c>
      <c r="C15" s="135"/>
      <c r="D15" s="133"/>
      <c r="E15" s="157"/>
      <c r="F15" s="156"/>
      <c r="G15" s="156"/>
      <c r="H15" s="156"/>
      <c r="I15" s="156"/>
      <c r="J15" s="301"/>
      <c r="K15" s="301"/>
    </row>
    <row r="16" spans="2:11" s="61" customFormat="1" ht="15">
      <c r="B16" s="57" t="s">
        <v>125</v>
      </c>
      <c r="C16" s="133"/>
      <c r="D16" s="133"/>
      <c r="E16" s="157">
        <f>F12</f>
        <v>25040000</v>
      </c>
      <c r="F16" s="156">
        <f>F32-F11</f>
        <v>25040000</v>
      </c>
      <c r="G16" s="156"/>
      <c r="H16" s="156"/>
      <c r="I16" s="156"/>
      <c r="J16" s="301">
        <f>'Показатели  по поступлениям'!G11</f>
        <v>32993000</v>
      </c>
      <c r="K16" s="301">
        <f>'Показатели  по поступлениям'!H11</f>
        <v>38910000</v>
      </c>
    </row>
    <row r="17" spans="2:11" s="61" customFormat="1" ht="17.25" customHeight="1">
      <c r="B17" s="65" t="s">
        <v>180</v>
      </c>
      <c r="C17" s="135"/>
      <c r="D17" s="133"/>
      <c r="E17" s="157">
        <f>G12</f>
        <v>0</v>
      </c>
      <c r="F17" s="156"/>
      <c r="G17" s="156">
        <f>G32-G11</f>
        <v>0</v>
      </c>
      <c r="H17" s="156"/>
      <c r="I17" s="156"/>
      <c r="J17" s="301">
        <f>'Показатели  по поступлениям'!G12</f>
        <v>0</v>
      </c>
      <c r="K17" s="301">
        <f>'Показатели  по поступлениям'!H12</f>
        <v>0</v>
      </c>
    </row>
    <row r="18" spans="2:11" s="61" customFormat="1" ht="15">
      <c r="B18" s="57" t="s">
        <v>126</v>
      </c>
      <c r="C18" s="133">
        <v>50500</v>
      </c>
      <c r="D18" s="133">
        <v>180</v>
      </c>
      <c r="E18" s="157">
        <f>H12</f>
        <v>0</v>
      </c>
      <c r="F18" s="156"/>
      <c r="G18" s="156"/>
      <c r="H18" s="156">
        <f>H32-H11</f>
        <v>0</v>
      </c>
      <c r="I18" s="156"/>
      <c r="J18" s="301">
        <f>'Субсидия (50500)'!I21</f>
        <v>0</v>
      </c>
      <c r="K18" s="301">
        <f>'Субсидия (50500)'!J21</f>
        <v>0</v>
      </c>
    </row>
    <row r="19" spans="2:11" s="61" customFormat="1" ht="30">
      <c r="B19" s="57" t="s">
        <v>133</v>
      </c>
      <c r="C19" s="133">
        <v>50300</v>
      </c>
      <c r="D19" s="136">
        <v>0</v>
      </c>
      <c r="E19" s="157">
        <f>E23+E24+E25+E28+E26</f>
        <v>14722000</v>
      </c>
      <c r="F19" s="156"/>
      <c r="G19" s="156"/>
      <c r="H19" s="156"/>
      <c r="I19" s="156">
        <f>I32-I11</f>
        <v>14722000.000000002</v>
      </c>
      <c r="J19" s="301">
        <f>'Показатели  по поступлениям'!G14</f>
        <v>13053000</v>
      </c>
      <c r="K19" s="301">
        <f>'Показатели  по поступлениям'!H14</f>
        <v>13053000</v>
      </c>
    </row>
    <row r="20" spans="2:11" s="61" customFormat="1" ht="15">
      <c r="B20" s="66" t="s">
        <v>32</v>
      </c>
      <c r="C20" s="135"/>
      <c r="D20" s="133"/>
      <c r="E20" s="107"/>
      <c r="F20" s="108"/>
      <c r="G20" s="108"/>
      <c r="H20" s="108"/>
      <c r="I20" s="108"/>
      <c r="J20" s="303"/>
      <c r="K20" s="303"/>
    </row>
    <row r="21" spans="2:11" s="61" customFormat="1" ht="33" customHeight="1">
      <c r="B21" s="151" t="s">
        <v>148</v>
      </c>
      <c r="C21" s="135">
        <v>50300</v>
      </c>
      <c r="D21" s="133"/>
      <c r="E21" s="154">
        <f>E23+E24+E25+E26+E27</f>
        <v>14719000</v>
      </c>
      <c r="F21" s="155"/>
      <c r="G21" s="155"/>
      <c r="H21" s="155"/>
      <c r="I21" s="154">
        <f>I23+I24+I25+I26+I27</f>
        <v>14719000</v>
      </c>
      <c r="J21" s="303"/>
      <c r="K21" s="303"/>
    </row>
    <row r="22" spans="2:11" s="61" customFormat="1" ht="15">
      <c r="B22" s="66" t="s">
        <v>33</v>
      </c>
      <c r="C22" s="135"/>
      <c r="D22" s="133"/>
      <c r="E22" s="107"/>
      <c r="F22" s="108"/>
      <c r="G22" s="108"/>
      <c r="H22" s="108"/>
      <c r="I22" s="108"/>
      <c r="J22" s="303"/>
      <c r="K22" s="303"/>
    </row>
    <row r="23" spans="2:11" s="61" customFormat="1" ht="15">
      <c r="B23" s="66" t="str">
        <f>'Касс.пл.Внеб.(50300)СВОД'!B22</f>
        <v xml:space="preserve"> - доходы от оказания платных услуг</v>
      </c>
      <c r="C23" s="135"/>
      <c r="D23" s="133">
        <f>'Касс.пл.Внеб.(50300)СВОД'!C22</f>
        <v>130</v>
      </c>
      <c r="E23" s="107">
        <f>I23</f>
        <v>14702000</v>
      </c>
      <c r="F23" s="108"/>
      <c r="G23" s="108"/>
      <c r="H23" s="108"/>
      <c r="I23" s="108">
        <f>'Касс.пл.Внеб.(50300)СВОД'!D22</f>
        <v>14702000</v>
      </c>
      <c r="J23" s="303"/>
      <c r="K23" s="303"/>
    </row>
    <row r="24" spans="2:11" s="61" customFormat="1" ht="28.5">
      <c r="B24" s="66" t="str">
        <f>'Касс.пл.Внеб.(50300)СВОД'!B23</f>
        <v xml:space="preserve"> - доходы от штрафов, пеней, иных сумм принудительного изъятия</v>
      </c>
      <c r="C24" s="135"/>
      <c r="D24" s="133">
        <f>'Касс.пл.Внеб.(50300)СВОД'!C23</f>
        <v>140</v>
      </c>
      <c r="E24" s="107">
        <f>I24</f>
        <v>0</v>
      </c>
      <c r="F24" s="108"/>
      <c r="G24" s="108"/>
      <c r="H24" s="108"/>
      <c r="I24" s="108">
        <f>'Касс.пл.Внеб.(50300)СВОД'!D23</f>
        <v>0</v>
      </c>
      <c r="J24" s="303"/>
      <c r="K24" s="303"/>
    </row>
    <row r="25" spans="2:11" s="61" customFormat="1" ht="18" customHeight="1">
      <c r="B25" s="66" t="str">
        <f>'Касс.пл.Внеб.(50300)СВОД'!B24</f>
        <v xml:space="preserve"> - доходы от выбытия материальных запасов</v>
      </c>
      <c r="C25" s="135"/>
      <c r="D25" s="133">
        <f>'Касс.пл.Внеб.(50300)СВОД'!C24</f>
        <v>440</v>
      </c>
      <c r="E25" s="107">
        <f>I25</f>
        <v>17000</v>
      </c>
      <c r="F25" s="108"/>
      <c r="G25" s="108"/>
      <c r="H25" s="108"/>
      <c r="I25" s="108">
        <f>'Касс.пл.Внеб.(50300)СВОД'!D24</f>
        <v>17000</v>
      </c>
      <c r="J25" s="303"/>
      <c r="K25" s="303"/>
    </row>
    <row r="26" spans="2:11" s="61" customFormat="1" ht="18" customHeight="1">
      <c r="B26" s="66" t="s">
        <v>132</v>
      </c>
      <c r="C26" s="135"/>
      <c r="D26" s="133">
        <v>180</v>
      </c>
      <c r="E26" s="107">
        <f>I26</f>
        <v>0</v>
      </c>
      <c r="F26" s="108"/>
      <c r="G26" s="108"/>
      <c r="H26" s="108"/>
      <c r="I26" s="108">
        <f>'Касс.пл.Внеб.(50300) (2)'!D26</f>
        <v>0</v>
      </c>
      <c r="J26" s="303"/>
      <c r="K26" s="303"/>
    </row>
    <row r="27" spans="2:11" s="61" customFormat="1" ht="18" customHeight="1">
      <c r="B27" s="66" t="s">
        <v>190</v>
      </c>
      <c r="C27" s="135"/>
      <c r="D27" s="133">
        <v>120</v>
      </c>
      <c r="E27" s="107">
        <f>I27</f>
        <v>0</v>
      </c>
      <c r="F27" s="108"/>
      <c r="G27" s="108"/>
      <c r="H27" s="108"/>
      <c r="I27" s="108">
        <f>'Касс.пл.Внеб.(50300) (2)'!D27</f>
        <v>0</v>
      </c>
      <c r="J27" s="303"/>
      <c r="K27" s="303"/>
    </row>
    <row r="28" spans="2:11" s="61" customFormat="1" ht="33" customHeight="1">
      <c r="B28" s="152" t="s">
        <v>149</v>
      </c>
      <c r="C28" s="135">
        <v>50320</v>
      </c>
      <c r="D28" s="133"/>
      <c r="E28" s="154">
        <f>E30+E31</f>
        <v>3000</v>
      </c>
      <c r="F28" s="108"/>
      <c r="G28" s="108"/>
      <c r="H28" s="108"/>
      <c r="I28" s="155">
        <f>I30+I31</f>
        <v>3000</v>
      </c>
      <c r="J28" s="304">
        <f aca="true" t="shared" si="0" ref="J28:K28">J30+J31</f>
        <v>0</v>
      </c>
      <c r="K28" s="304">
        <f t="shared" si="0"/>
        <v>0</v>
      </c>
    </row>
    <row r="29" spans="2:11" s="61" customFormat="1" ht="16.5" customHeight="1">
      <c r="B29" s="66" t="s">
        <v>33</v>
      </c>
      <c r="C29" s="135"/>
      <c r="D29" s="133"/>
      <c r="E29" s="107"/>
      <c r="F29" s="108"/>
      <c r="G29" s="108"/>
      <c r="H29" s="108"/>
      <c r="I29" s="108"/>
      <c r="J29" s="303"/>
      <c r="K29" s="303"/>
    </row>
    <row r="30" spans="2:11" s="61" customFormat="1" ht="15">
      <c r="B30" s="66" t="str">
        <f>'Касс.пл.Внеб.(50300)СВОД'!B25</f>
        <v xml:space="preserve"> - гранты</v>
      </c>
      <c r="C30" s="135"/>
      <c r="D30" s="133">
        <v>180</v>
      </c>
      <c r="E30" s="107">
        <f>I30</f>
        <v>0</v>
      </c>
      <c r="F30" s="108"/>
      <c r="G30" s="108"/>
      <c r="H30" s="108"/>
      <c r="I30" s="108">
        <f>'Касс.пл.Внеб.(50300)СВОД'!D25</f>
        <v>0</v>
      </c>
      <c r="J30" s="303"/>
      <c r="K30" s="303"/>
    </row>
    <row r="31" spans="2:11" s="61" customFormat="1" ht="15">
      <c r="B31" s="66" t="s">
        <v>132</v>
      </c>
      <c r="C31" s="135"/>
      <c r="D31" s="133">
        <v>180</v>
      </c>
      <c r="E31" s="107">
        <f>I31</f>
        <v>3000</v>
      </c>
      <c r="F31" s="108"/>
      <c r="G31" s="108"/>
      <c r="H31" s="108"/>
      <c r="I31" s="108">
        <f>'Касс.пл.Внеб.(50320)'!D26</f>
        <v>3000</v>
      </c>
      <c r="J31" s="303"/>
      <c r="K31" s="303"/>
    </row>
    <row r="32" spans="2:11" s="61" customFormat="1" ht="15.75">
      <c r="B32" s="153" t="s">
        <v>38</v>
      </c>
      <c r="C32" s="135"/>
      <c r="D32" s="133"/>
      <c r="E32" s="110">
        <f>E34+E38+E50+E53+E58+E69+E57</f>
        <v>40233312.95</v>
      </c>
      <c r="F32" s="110">
        <f>F34+F38+F50+F53+F58+F69+F57</f>
        <v>25218346.67</v>
      </c>
      <c r="G32" s="110">
        <f>G34+G38+G50+G53+G58+G69+G57</f>
        <v>0</v>
      </c>
      <c r="H32" s="110">
        <f>H34+H38+H50+H53+H58+H69+H57</f>
        <v>0</v>
      </c>
      <c r="I32" s="110">
        <f>I34+I38+I50+I53+I58+I69+I57</f>
        <v>15014966.280000001</v>
      </c>
      <c r="J32" s="305">
        <f>'Показатели  по поступлениям'!G15</f>
        <v>46046000</v>
      </c>
      <c r="K32" s="305">
        <f>'Показатели  по поступлениям'!H15</f>
        <v>51963000</v>
      </c>
    </row>
    <row r="33" spans="2:11" s="61" customFormat="1" ht="15">
      <c r="B33" s="66" t="s">
        <v>33</v>
      </c>
      <c r="C33" s="135"/>
      <c r="D33" s="133"/>
      <c r="E33" s="107"/>
      <c r="F33" s="108"/>
      <c r="G33" s="108"/>
      <c r="H33" s="108"/>
      <c r="I33" s="108"/>
      <c r="J33" s="303">
        <f>'Показатели  по поступлениям'!G16</f>
        <v>0</v>
      </c>
      <c r="K33" s="303">
        <f>'Показатели  по поступлениям'!H16</f>
        <v>0</v>
      </c>
    </row>
    <row r="34" spans="2:11" s="61" customFormat="1" ht="31.5">
      <c r="B34" s="67" t="s">
        <v>105</v>
      </c>
      <c r="C34" s="134"/>
      <c r="D34" s="134">
        <v>210</v>
      </c>
      <c r="E34" s="109">
        <f aca="true" t="shared" si="1" ref="E34:E74">F34+G34+H34+I34</f>
        <v>26031629.67</v>
      </c>
      <c r="F34" s="110">
        <f>F35+F36+F37</f>
        <v>20625829.67</v>
      </c>
      <c r="G34" s="110">
        <f>G35+G36+G37</f>
        <v>0</v>
      </c>
      <c r="H34" s="110">
        <f>H35+H36+H37</f>
        <v>0</v>
      </c>
      <c r="I34" s="110">
        <f>I35+I36+I37</f>
        <v>5405800</v>
      </c>
      <c r="J34" s="305">
        <f>'Показатели  по поступлениям'!G17</f>
        <v>32266952</v>
      </c>
      <c r="K34" s="305">
        <f>'Показатели  по поступлениям'!H17</f>
        <v>37711263</v>
      </c>
    </row>
    <row r="35" spans="2:11" s="61" customFormat="1" ht="15">
      <c r="B35" s="57" t="s">
        <v>39</v>
      </c>
      <c r="C35" s="133"/>
      <c r="D35" s="133">
        <v>211</v>
      </c>
      <c r="E35" s="107">
        <f t="shared" si="1"/>
        <v>20350219</v>
      </c>
      <c r="F35" s="108">
        <f>'Касс. план Обл. бюдж.'!D25</f>
        <v>16202719</v>
      </c>
      <c r="G35" s="108">
        <f>'Касс.пл. ХМАО'!D25</f>
        <v>0</v>
      </c>
      <c r="H35" s="108">
        <f>'Субсидия (50500)'!D24</f>
        <v>0</v>
      </c>
      <c r="I35" s="108">
        <f>'Касс.пл.Внеб.(50300)СВОД'!D31</f>
        <v>4147500</v>
      </c>
      <c r="J35" s="303">
        <f>'Показатели  по поступлениям'!G18</f>
        <v>24776000</v>
      </c>
      <c r="K35" s="303">
        <f>'Показатели  по поступлениям'!H18</f>
        <v>28956992</v>
      </c>
    </row>
    <row r="36" spans="2:11" s="61" customFormat="1" ht="15">
      <c r="B36" s="57" t="s">
        <v>41</v>
      </c>
      <c r="C36" s="133"/>
      <c r="D36" s="133">
        <v>212</v>
      </c>
      <c r="E36" s="107">
        <f t="shared" si="1"/>
        <v>6000</v>
      </c>
      <c r="F36" s="108">
        <f>'Касс. план Обл. бюдж.'!D26</f>
        <v>6000</v>
      </c>
      <c r="G36" s="108">
        <f>'Касс.пл. ХМАО'!D26</f>
        <v>0</v>
      </c>
      <c r="H36" s="108">
        <f>'Субсидия (50500)'!D25</f>
        <v>0</v>
      </c>
      <c r="I36" s="108">
        <f>'Касс.пл.Внеб.(50300)СВОД'!D32</f>
        <v>0</v>
      </c>
      <c r="J36" s="303">
        <f>'Показатели  по поступлениям'!G19</f>
        <v>6600</v>
      </c>
      <c r="K36" s="303">
        <f>'Показатели  по поступлениям'!H19</f>
        <v>7260</v>
      </c>
    </row>
    <row r="37" spans="2:11" s="61" customFormat="1" ht="15">
      <c r="B37" s="57" t="s">
        <v>42</v>
      </c>
      <c r="C37" s="133"/>
      <c r="D37" s="133">
        <v>213</v>
      </c>
      <c r="E37" s="107">
        <f t="shared" si="1"/>
        <v>5675410.67</v>
      </c>
      <c r="F37" s="108">
        <f>'Касс. план Обл. бюдж.'!D27</f>
        <v>4417110.67</v>
      </c>
      <c r="G37" s="108">
        <f>'Касс.пл. ХМАО'!D27</f>
        <v>0</v>
      </c>
      <c r="H37" s="108">
        <f>'Субсидия (50500)'!D26</f>
        <v>0</v>
      </c>
      <c r="I37" s="108">
        <f>'Касс.пл.Внеб.(50300)СВОД'!D33</f>
        <v>1258300</v>
      </c>
      <c r="J37" s="303">
        <f>'Показатели  по поступлениям'!G20</f>
        <v>7484352</v>
      </c>
      <c r="K37" s="303">
        <f>'Показатели  по поступлениям'!H20</f>
        <v>8747011</v>
      </c>
    </row>
    <row r="38" spans="2:11" s="61" customFormat="1" ht="15.75">
      <c r="B38" s="67" t="s">
        <v>44</v>
      </c>
      <c r="C38" s="134"/>
      <c r="D38" s="134">
        <v>220</v>
      </c>
      <c r="E38" s="109">
        <f t="shared" si="1"/>
        <v>5941017</v>
      </c>
      <c r="F38" s="110">
        <f>F40+F41+F42+F43+F44+F47</f>
        <v>4154517</v>
      </c>
      <c r="G38" s="110">
        <f>G40+G41+G42+G43+G44+G47</f>
        <v>0</v>
      </c>
      <c r="H38" s="110">
        <f>H40+H41+H42+H43+H44+H47</f>
        <v>0</v>
      </c>
      <c r="I38" s="110">
        <f>I40+I41+I42+I43+I44+I47</f>
        <v>1786500</v>
      </c>
      <c r="J38" s="305">
        <f>'Показатели  по поступлениям'!G21</f>
        <v>5721448</v>
      </c>
      <c r="K38" s="305">
        <f>'Показатели  по поступлениям'!H21</f>
        <v>6183577</v>
      </c>
    </row>
    <row r="39" spans="2:11" s="61" customFormat="1" ht="15">
      <c r="B39" s="57" t="s">
        <v>32</v>
      </c>
      <c r="C39" s="133"/>
      <c r="D39" s="133"/>
      <c r="E39" s="107"/>
      <c r="F39" s="108"/>
      <c r="G39" s="108"/>
      <c r="H39" s="108"/>
      <c r="I39" s="108"/>
      <c r="J39" s="303">
        <f>'Показатели  по поступлениям'!G22</f>
        <v>0</v>
      </c>
      <c r="K39" s="303">
        <f>'Показатели  по поступлениям'!H22</f>
        <v>0</v>
      </c>
    </row>
    <row r="40" spans="2:11" s="61" customFormat="1" ht="15">
      <c r="B40" s="57" t="s">
        <v>46</v>
      </c>
      <c r="C40" s="133"/>
      <c r="D40" s="133">
        <v>221</v>
      </c>
      <c r="E40" s="107">
        <f t="shared" si="1"/>
        <v>112000</v>
      </c>
      <c r="F40" s="108">
        <f>'Касс. план Обл. бюдж.'!D30</f>
        <v>112000</v>
      </c>
      <c r="G40" s="108">
        <f>'Касс.пл. ХМАО'!D30</f>
        <v>0</v>
      </c>
      <c r="H40" s="108">
        <f>'Субсидия (50500)'!D29</f>
        <v>0</v>
      </c>
      <c r="I40" s="108">
        <f>'Касс.пл.Внеб.(50300)СВОД'!D36</f>
        <v>0</v>
      </c>
      <c r="J40" s="303">
        <f>'Показатели  по поступлениям'!G23</f>
        <v>123200</v>
      </c>
      <c r="K40" s="303">
        <f>'Показатели  по поступлениям'!H23</f>
        <v>135520</v>
      </c>
    </row>
    <row r="41" spans="2:11" s="61" customFormat="1" ht="15">
      <c r="B41" s="57" t="s">
        <v>48</v>
      </c>
      <c r="C41" s="133"/>
      <c r="D41" s="133">
        <v>222</v>
      </c>
      <c r="E41" s="107">
        <f t="shared" si="1"/>
        <v>10000</v>
      </c>
      <c r="F41" s="108">
        <f>'Касс. план Обл. бюдж.'!D31</f>
        <v>10000</v>
      </c>
      <c r="G41" s="108">
        <f>'Касс.пл. ХМАО'!D31</f>
        <v>0</v>
      </c>
      <c r="H41" s="108">
        <f>'Субсидия (50500)'!D30</f>
        <v>0</v>
      </c>
      <c r="I41" s="108">
        <f>'Касс.пл.Внеб.(50300)СВОД'!D37</f>
        <v>0</v>
      </c>
      <c r="J41" s="303">
        <f>'Показатели  по поступлениям'!G24</f>
        <v>11000</v>
      </c>
      <c r="K41" s="303">
        <f>'Показатели  по поступлениям'!H24</f>
        <v>12100</v>
      </c>
    </row>
    <row r="42" spans="2:11" s="61" customFormat="1" ht="15">
      <c r="B42" s="57" t="s">
        <v>50</v>
      </c>
      <c r="C42" s="133"/>
      <c r="D42" s="133">
        <v>223</v>
      </c>
      <c r="E42" s="107">
        <f t="shared" si="1"/>
        <v>2424000</v>
      </c>
      <c r="F42" s="108">
        <f>'Касс. план Обл. бюдж.'!D32</f>
        <v>2215000</v>
      </c>
      <c r="G42" s="108">
        <f>'Касс.пл. ХМАО'!D32</f>
        <v>0</v>
      </c>
      <c r="H42" s="108">
        <f>'Субсидия (50500)'!D31</f>
        <v>0</v>
      </c>
      <c r="I42" s="108">
        <f>'Касс.пл.Внеб.(50300)СВОД'!D38</f>
        <v>209000</v>
      </c>
      <c r="J42" s="303">
        <f>'Показатели  по поступлениям'!G25</f>
        <v>2645500</v>
      </c>
      <c r="K42" s="303">
        <f>'Показатели  по поступлениям'!H25</f>
        <v>2889150</v>
      </c>
    </row>
    <row r="43" spans="2:11" s="61" customFormat="1" ht="30">
      <c r="B43" s="57" t="s">
        <v>52</v>
      </c>
      <c r="C43" s="133"/>
      <c r="D43" s="133">
        <v>224</v>
      </c>
      <c r="E43" s="107">
        <f t="shared" si="1"/>
        <v>0</v>
      </c>
      <c r="F43" s="108">
        <f>'Касс. план Обл. бюдж.'!D33</f>
        <v>0</v>
      </c>
      <c r="G43" s="108">
        <f>'Касс.пл. ХМАО'!D33</f>
        <v>0</v>
      </c>
      <c r="H43" s="108">
        <f>'Субсидия (50500)'!D32</f>
        <v>0</v>
      </c>
      <c r="I43" s="108">
        <f>'Касс.пл.Внеб.(50300)СВОД'!D39</f>
        <v>0</v>
      </c>
      <c r="J43" s="303">
        <f>'Показатели  по поступлениям'!G26</f>
        <v>0</v>
      </c>
      <c r="K43" s="303">
        <f>'Показатели  по поступлениям'!H26</f>
        <v>0</v>
      </c>
    </row>
    <row r="44" spans="2:11" s="61" customFormat="1" ht="30">
      <c r="B44" s="57" t="s">
        <v>54</v>
      </c>
      <c r="C44" s="133"/>
      <c r="D44" s="133">
        <v>225</v>
      </c>
      <c r="E44" s="107">
        <f t="shared" si="1"/>
        <v>2082017</v>
      </c>
      <c r="F44" s="108">
        <f>'Касс. план Обл. бюдж.'!D34</f>
        <v>1585517</v>
      </c>
      <c r="G44" s="108">
        <f>'Касс.пл. ХМАО'!D34</f>
        <v>0</v>
      </c>
      <c r="H44" s="108">
        <f>'Субсидия (50500)'!D33</f>
        <v>0</v>
      </c>
      <c r="I44" s="108">
        <f>'Касс.пл.Внеб.(50300)СВОД'!D40</f>
        <v>496500</v>
      </c>
      <c r="J44" s="303">
        <f>'Показатели  по поступлениям'!G27</f>
        <v>1213548</v>
      </c>
      <c r="K44" s="303">
        <f>'Показатели  по поступлениям'!H27</f>
        <v>1289203</v>
      </c>
    </row>
    <row r="45" spans="2:11" s="61" customFormat="1" ht="15">
      <c r="B45" s="57" t="s">
        <v>32</v>
      </c>
      <c r="C45" s="133"/>
      <c r="D45" s="133"/>
      <c r="E45" s="107">
        <f aca="true" t="shared" si="2" ref="E45:E50">F45+G45+H45+I45</f>
        <v>0</v>
      </c>
      <c r="F45" s="108">
        <f>'Касс. план Обл. бюдж.'!D35</f>
        <v>0</v>
      </c>
      <c r="G45" s="108">
        <f>'Касс.пл. ХМАО'!D35</f>
        <v>0</v>
      </c>
      <c r="H45" s="108">
        <f>'Субсидия (50500)'!D34</f>
        <v>0</v>
      </c>
      <c r="I45" s="108">
        <f>'Касс.пл.Внеб.(50300)СВОД'!D41</f>
        <v>0</v>
      </c>
      <c r="J45" s="303">
        <v>0</v>
      </c>
      <c r="K45" s="303">
        <v>0</v>
      </c>
    </row>
    <row r="46" spans="2:11" s="61" customFormat="1" ht="15">
      <c r="B46" s="57" t="s">
        <v>204</v>
      </c>
      <c r="C46" s="133"/>
      <c r="D46" s="133"/>
      <c r="E46" s="107">
        <f t="shared" si="2"/>
        <v>40000</v>
      </c>
      <c r="F46" s="108">
        <f>'Касс. план Обл. бюдж.'!D36</f>
        <v>29000</v>
      </c>
      <c r="G46" s="108">
        <f>'Касс.пл. ХМАО'!D36</f>
        <v>0</v>
      </c>
      <c r="H46" s="108">
        <f>'Субсидия (50500)'!D35</f>
        <v>0</v>
      </c>
      <c r="I46" s="108">
        <f>'Касс.пл.Внеб.(50300)СВОД'!D42</f>
        <v>11000</v>
      </c>
      <c r="J46" s="303">
        <f>'Показатели  по поступлениям'!G29</f>
        <v>0</v>
      </c>
      <c r="K46" s="303">
        <f>'Показатели  по поступлениям'!H29</f>
        <v>0</v>
      </c>
    </row>
    <row r="47" spans="2:11" s="61" customFormat="1" ht="15">
      <c r="B47" s="57" t="s">
        <v>110</v>
      </c>
      <c r="C47" s="133"/>
      <c r="D47" s="133">
        <v>226</v>
      </c>
      <c r="E47" s="107">
        <f t="shared" si="2"/>
        <v>1313000</v>
      </c>
      <c r="F47" s="108">
        <f>'Касс. план Обл. бюдж.'!D37</f>
        <v>232000</v>
      </c>
      <c r="G47" s="108">
        <f>'Касс.пл. ХМАО'!D37</f>
        <v>0</v>
      </c>
      <c r="H47" s="108">
        <f>'Субсидия (50500)'!D36</f>
        <v>0</v>
      </c>
      <c r="I47" s="108">
        <f>'Касс.пл.Внеб.(50300)СВОД'!D43</f>
        <v>1081000</v>
      </c>
      <c r="J47" s="303">
        <f>'Показатели  по поступлениям'!G28</f>
        <v>1728200</v>
      </c>
      <c r="K47" s="303">
        <f>'Показатели  по поступлениям'!H28</f>
        <v>1857604</v>
      </c>
    </row>
    <row r="48" spans="2:11" s="61" customFormat="1" ht="15">
      <c r="B48" s="57" t="s">
        <v>32</v>
      </c>
      <c r="C48" s="133"/>
      <c r="D48" s="133"/>
      <c r="E48" s="107">
        <f t="shared" si="2"/>
        <v>0</v>
      </c>
      <c r="F48" s="108">
        <f>'Касс. план Обл. бюдж.'!D38</f>
        <v>0</v>
      </c>
      <c r="G48" s="108">
        <f>'Касс.пл. ХМАО'!D38</f>
        <v>0</v>
      </c>
      <c r="H48" s="108">
        <f>'Субсидия (50500)'!D37</f>
        <v>0</v>
      </c>
      <c r="I48" s="108">
        <f>'Касс.пл.Внеб.(50300)СВОД'!D44</f>
        <v>0</v>
      </c>
      <c r="J48" s="303">
        <f>'Показатели  по поступлениям'!G31</f>
        <v>0</v>
      </c>
      <c r="K48" s="303">
        <f>'Показатели  по поступлениям'!H31</f>
        <v>0</v>
      </c>
    </row>
    <row r="49" spans="2:11" s="61" customFormat="1" ht="15">
      <c r="B49" s="57" t="s">
        <v>205</v>
      </c>
      <c r="C49" s="133"/>
      <c r="D49" s="133"/>
      <c r="E49" s="107">
        <f t="shared" si="2"/>
        <v>0</v>
      </c>
      <c r="F49" s="108">
        <f>'Касс. план Обл. бюдж.'!D39</f>
        <v>0</v>
      </c>
      <c r="G49" s="108">
        <f>'Касс.пл. ХМАО'!D39</f>
        <v>0</v>
      </c>
      <c r="H49" s="108">
        <f>'Субсидия (50500)'!D38</f>
        <v>0</v>
      </c>
      <c r="I49" s="108">
        <f>'Касс.пл.Внеб.(50300)СВОД'!D45</f>
        <v>0</v>
      </c>
      <c r="J49" s="303">
        <f>'Показатели  по поступлениям'!G32</f>
        <v>0</v>
      </c>
      <c r="K49" s="303">
        <f>'Показатели  по поступлениям'!H32</f>
        <v>0</v>
      </c>
    </row>
    <row r="50" spans="2:11" s="61" customFormat="1" ht="31.5">
      <c r="B50" s="67" t="s">
        <v>103</v>
      </c>
      <c r="C50" s="134"/>
      <c r="D50" s="134">
        <v>240</v>
      </c>
      <c r="E50" s="107">
        <f t="shared" si="2"/>
        <v>0</v>
      </c>
      <c r="F50" s="108">
        <f>'Касс. план Обл. бюдж.'!D40</f>
        <v>0</v>
      </c>
      <c r="G50" s="108">
        <f>'Касс.пл. ХМАО'!D40</f>
        <v>0</v>
      </c>
      <c r="H50" s="108">
        <f>'Субсидия (50500)'!D39</f>
        <v>0</v>
      </c>
      <c r="I50" s="108">
        <f>'Касс.пл.Внеб.(50300)СВОД'!D46</f>
        <v>0</v>
      </c>
      <c r="J50" s="303">
        <f>'Показатели  по поступлениям'!G29</f>
        <v>0</v>
      </c>
      <c r="K50" s="303">
        <f>'Показатели  по поступлениям'!H29</f>
        <v>0</v>
      </c>
    </row>
    <row r="51" spans="2:11" s="61" customFormat="1" ht="15">
      <c r="B51" s="57" t="s">
        <v>32</v>
      </c>
      <c r="C51" s="133"/>
      <c r="D51" s="133"/>
      <c r="E51" s="107">
        <f aca="true" t="shared" si="3" ref="E51:E57">F51+G51+H51+I51</f>
        <v>0</v>
      </c>
      <c r="F51" s="108">
        <f>'Касс. план Обл. бюдж.'!D41</f>
        <v>0</v>
      </c>
      <c r="G51" s="108">
        <f>'Касс.пл. ХМАО'!D41</f>
        <v>0</v>
      </c>
      <c r="H51" s="108">
        <f>'Субсидия (50500)'!D40</f>
        <v>0</v>
      </c>
      <c r="I51" s="108">
        <f>'Касс.пл.Внеб.(50300)СВОД'!D47</f>
        <v>0</v>
      </c>
      <c r="J51" s="303">
        <f>'Показатели  по поступлениям'!G30</f>
        <v>0</v>
      </c>
      <c r="K51" s="303">
        <f>'Показатели  по поступлениям'!H30</f>
        <v>0</v>
      </c>
    </row>
    <row r="52" spans="2:11" s="61" customFormat="1" ht="45">
      <c r="B52" s="57" t="s">
        <v>104</v>
      </c>
      <c r="C52" s="133"/>
      <c r="D52" s="133">
        <v>241</v>
      </c>
      <c r="E52" s="107">
        <f t="shared" si="3"/>
        <v>0</v>
      </c>
      <c r="F52" s="108">
        <f>'Касс. план Обл. бюдж.'!D42</f>
        <v>0</v>
      </c>
      <c r="G52" s="108">
        <f>'Касс.пл. ХМАО'!D42</f>
        <v>0</v>
      </c>
      <c r="H52" s="108">
        <f>'Субсидия (50500)'!D41</f>
        <v>0</v>
      </c>
      <c r="I52" s="108">
        <f>'Касс.пл.Внеб.(50300)СВОД'!D48</f>
        <v>0</v>
      </c>
      <c r="J52" s="303">
        <f>'Показатели  по поступлениям'!G31</f>
        <v>0</v>
      </c>
      <c r="K52" s="303">
        <f>'Показатели  по поступлениям'!H31</f>
        <v>0</v>
      </c>
    </row>
    <row r="53" spans="2:11" s="61" customFormat="1" ht="15.75">
      <c r="B53" s="67" t="s">
        <v>56</v>
      </c>
      <c r="C53" s="134"/>
      <c r="D53" s="134">
        <v>260</v>
      </c>
      <c r="E53" s="107">
        <f t="shared" si="3"/>
        <v>0</v>
      </c>
      <c r="F53" s="108">
        <f>'Касс. план Обл. бюдж.'!D43</f>
        <v>0</v>
      </c>
      <c r="G53" s="108">
        <f>'Касс.пл. ХМАО'!D43</f>
        <v>0</v>
      </c>
      <c r="H53" s="108">
        <f>'Субсидия (50500)'!D42</f>
        <v>0</v>
      </c>
      <c r="I53" s="108">
        <f>'Касс.пл.Внеб.(50300)СВОД'!D49</f>
        <v>0</v>
      </c>
      <c r="J53" s="303">
        <f>'Показатели  по поступлениям'!G32</f>
        <v>0</v>
      </c>
      <c r="K53" s="303">
        <f>'Показатели  по поступлениям'!H32</f>
        <v>0</v>
      </c>
    </row>
    <row r="54" spans="2:11" s="61" customFormat="1" ht="15">
      <c r="B54" s="57" t="s">
        <v>32</v>
      </c>
      <c r="C54" s="133"/>
      <c r="D54" s="133"/>
      <c r="E54" s="107">
        <f t="shared" si="3"/>
        <v>0</v>
      </c>
      <c r="F54" s="108">
        <f>'Касс. план Обл. бюдж.'!D44</f>
        <v>0</v>
      </c>
      <c r="G54" s="108">
        <f>'Касс.пл. ХМАО'!D44</f>
        <v>0</v>
      </c>
      <c r="H54" s="108">
        <f>'Субсидия (50500)'!D43</f>
        <v>0</v>
      </c>
      <c r="I54" s="108">
        <f>'Касс.пл.Внеб.(50300)СВОД'!D50</f>
        <v>0</v>
      </c>
      <c r="J54" s="303">
        <f>'Показатели  по поступлениям'!G33</f>
        <v>0</v>
      </c>
      <c r="K54" s="303">
        <f>'Показатели  по поступлениям'!H33</f>
        <v>0</v>
      </c>
    </row>
    <row r="55" spans="2:11" s="61" customFormat="1" ht="30">
      <c r="B55" s="57" t="s">
        <v>58</v>
      </c>
      <c r="C55" s="133"/>
      <c r="D55" s="133">
        <v>262</v>
      </c>
      <c r="E55" s="107">
        <f t="shared" si="3"/>
        <v>0</v>
      </c>
      <c r="F55" s="108">
        <f>'Касс. план Обл. бюдж.'!D45</f>
        <v>0</v>
      </c>
      <c r="G55" s="108">
        <f>'Касс.пл. ХМАО'!D45</f>
        <v>0</v>
      </c>
      <c r="H55" s="108">
        <f>'Субсидия (50500)'!D44</f>
        <v>0</v>
      </c>
      <c r="I55" s="108">
        <f>'Касс.пл.Внеб.(50300)СВОД'!D51</f>
        <v>0</v>
      </c>
      <c r="J55" s="303">
        <f>'Показатели  по поступлениям'!G34</f>
        <v>0</v>
      </c>
      <c r="K55" s="303">
        <f>'Показатели  по поступлениям'!H34</f>
        <v>0</v>
      </c>
    </row>
    <row r="56" spans="2:11" s="61" customFormat="1" ht="45">
      <c r="B56" s="57" t="s">
        <v>60</v>
      </c>
      <c r="C56" s="133"/>
      <c r="D56" s="133">
        <v>263</v>
      </c>
      <c r="E56" s="107">
        <f t="shared" si="3"/>
        <v>0</v>
      </c>
      <c r="F56" s="108">
        <f>'Касс. план Обл. бюдж.'!D46</f>
        <v>0</v>
      </c>
      <c r="G56" s="108">
        <f>'Касс.пл. ХМАО'!D46</f>
        <v>0</v>
      </c>
      <c r="H56" s="108">
        <f>'Субсидия (50500)'!D45</f>
        <v>0</v>
      </c>
      <c r="I56" s="108">
        <f>'Касс.пл.Внеб.(50300)СВОД'!D52</f>
        <v>0</v>
      </c>
      <c r="J56" s="303">
        <f>'Показатели  по поступлениям'!G35</f>
        <v>0</v>
      </c>
      <c r="K56" s="303">
        <f>'Показатели  по поступлениям'!H35</f>
        <v>0</v>
      </c>
    </row>
    <row r="57" spans="2:11" s="61" customFormat="1" ht="15.75">
      <c r="B57" s="67" t="s">
        <v>62</v>
      </c>
      <c r="C57" s="134"/>
      <c r="D57" s="134">
        <v>290</v>
      </c>
      <c r="E57" s="109">
        <f t="shared" si="3"/>
        <v>107000</v>
      </c>
      <c r="F57" s="110">
        <f>'Касс. план Обл. бюдж.'!D47</f>
        <v>32000</v>
      </c>
      <c r="G57" s="110">
        <f>'Касс.пл. ХМАО'!D47</f>
        <v>0</v>
      </c>
      <c r="H57" s="110">
        <f>'Субсидия (50500)'!D46</f>
        <v>0</v>
      </c>
      <c r="I57" s="110">
        <f>'Касс.пл.Внеб.(50300)СВОД'!D53</f>
        <v>75000</v>
      </c>
      <c r="J57" s="305">
        <f>'Показатели  по поступлениям'!G36</f>
        <v>110200</v>
      </c>
      <c r="K57" s="305">
        <f>'Показатели  по поступлениям'!H36</f>
        <v>113720</v>
      </c>
    </row>
    <row r="58" spans="2:11" s="61" customFormat="1" ht="31.5">
      <c r="B58" s="67" t="s">
        <v>64</v>
      </c>
      <c r="C58" s="134"/>
      <c r="D58" s="134">
        <v>300</v>
      </c>
      <c r="E58" s="109">
        <f aca="true" t="shared" si="4" ref="E58:E61">F58+G58+H58+I58</f>
        <v>8153666.28</v>
      </c>
      <c r="F58" s="110">
        <f>'Касс. план Обл. бюдж.'!D48</f>
        <v>406000</v>
      </c>
      <c r="G58" s="110">
        <f>'Касс.пл. ХМАО'!D48</f>
        <v>0</v>
      </c>
      <c r="H58" s="110">
        <f>'Субсидия (50500)'!D47</f>
        <v>0</v>
      </c>
      <c r="I58" s="110">
        <f>'Касс.пл.Внеб.(50300)СВОД'!D54</f>
        <v>7747666.28</v>
      </c>
      <c r="J58" s="305">
        <f>'Показатели  по поступлениям'!G37</f>
        <v>7947400</v>
      </c>
      <c r="K58" s="305">
        <f>'Показатели  по поступлениям'!H37</f>
        <v>7954440</v>
      </c>
    </row>
    <row r="59" spans="2:11" s="61" customFormat="1" ht="15">
      <c r="B59" s="57" t="s">
        <v>32</v>
      </c>
      <c r="C59" s="133"/>
      <c r="D59" s="133"/>
      <c r="E59" s="109">
        <f t="shared" si="4"/>
        <v>0</v>
      </c>
      <c r="F59" s="110">
        <f>'Касс. план Обл. бюдж.'!D49</f>
        <v>0</v>
      </c>
      <c r="G59" s="110">
        <f>'Касс.пл. ХМАО'!D49</f>
        <v>0</v>
      </c>
      <c r="H59" s="110">
        <f>'Субсидия (50500)'!D48</f>
        <v>0</v>
      </c>
      <c r="I59" s="110">
        <f>'Касс.пл.Внеб.(50300)СВОД'!D55</f>
        <v>0</v>
      </c>
      <c r="J59" s="303">
        <f>'Показатели  по поступлениям'!G38</f>
        <v>0</v>
      </c>
      <c r="K59" s="303">
        <f>'Показатели  по поступлениям'!H38</f>
        <v>0</v>
      </c>
    </row>
    <row r="60" spans="2:11" s="61" customFormat="1" ht="15">
      <c r="B60" s="57" t="s">
        <v>66</v>
      </c>
      <c r="C60" s="133"/>
      <c r="D60" s="133">
        <v>310</v>
      </c>
      <c r="E60" s="109">
        <f t="shared" si="4"/>
        <v>1021000</v>
      </c>
      <c r="F60" s="110">
        <f>'Касс. план Обл. бюдж.'!D50</f>
        <v>0</v>
      </c>
      <c r="G60" s="110">
        <f>'Касс.пл. ХМАО'!D50</f>
        <v>0</v>
      </c>
      <c r="H60" s="110">
        <f>'Субсидия (50500)'!D49</f>
        <v>0</v>
      </c>
      <c r="I60" s="110">
        <f>'Касс.пл.Внеб.(50300)СВОД'!D56</f>
        <v>1021000</v>
      </c>
      <c r="J60" s="303">
        <f>'Показатели  по поступлениям'!G39</f>
        <v>844400</v>
      </c>
      <c r="K60" s="303">
        <f>'Показатели  по поступлениям'!H39</f>
        <v>851440</v>
      </c>
    </row>
    <row r="61" spans="2:11" s="61" customFormat="1" ht="30">
      <c r="B61" s="57" t="s">
        <v>68</v>
      </c>
      <c r="C61" s="133"/>
      <c r="D61" s="133">
        <v>320</v>
      </c>
      <c r="E61" s="109">
        <f t="shared" si="4"/>
        <v>0</v>
      </c>
      <c r="F61" s="110">
        <f>'Касс. план Обл. бюдж.'!D51</f>
        <v>0</v>
      </c>
      <c r="G61" s="110">
        <f>'Касс.пл. ХМАО'!D51</f>
        <v>0</v>
      </c>
      <c r="H61" s="110">
        <f>'Субсидия (50500)'!D50</f>
        <v>0</v>
      </c>
      <c r="I61" s="110">
        <f>'Касс.пл.Внеб.(50300)СВОД'!D57</f>
        <v>0</v>
      </c>
      <c r="J61" s="303">
        <f>'Показатели  по поступлениям'!G40</f>
        <v>0</v>
      </c>
      <c r="K61" s="303">
        <f>'Показатели  по поступлениям'!H40</f>
        <v>0</v>
      </c>
    </row>
    <row r="62" spans="2:11" s="61" customFormat="1" ht="30">
      <c r="B62" s="57" t="s">
        <v>80</v>
      </c>
      <c r="C62" s="133"/>
      <c r="D62" s="133">
        <v>330</v>
      </c>
      <c r="E62" s="107">
        <f t="shared" si="1"/>
        <v>0</v>
      </c>
      <c r="F62" s="108">
        <f>'Касс. план Обл. бюдж.'!D52</f>
        <v>0</v>
      </c>
      <c r="G62" s="108">
        <f>'Касс.пл. ХМАО'!D52</f>
        <v>0</v>
      </c>
      <c r="H62" s="108">
        <f>'Субсидия (50500)'!D51</f>
        <v>0</v>
      </c>
      <c r="I62" s="108">
        <f>'Касс.пл.Внеб.(50300)СВОД'!D58</f>
        <v>0</v>
      </c>
      <c r="J62" s="303">
        <f>'Показатели  по поступлениям'!G41</f>
        <v>0</v>
      </c>
      <c r="K62" s="303">
        <f>'Показатели  по поступлениям'!H41</f>
        <v>0</v>
      </c>
    </row>
    <row r="63" spans="2:11" s="61" customFormat="1" ht="30">
      <c r="B63" s="57" t="s">
        <v>70</v>
      </c>
      <c r="C63" s="133"/>
      <c r="D63" s="133">
        <v>340</v>
      </c>
      <c r="E63" s="107">
        <f t="shared" si="1"/>
        <v>7132666.28</v>
      </c>
      <c r="F63" s="108">
        <f>'Касс. план Обл. бюдж.'!D53</f>
        <v>406000</v>
      </c>
      <c r="G63" s="108">
        <f>'Касс.пл. ХМАО'!D53</f>
        <v>0</v>
      </c>
      <c r="H63" s="108">
        <f>'Субсидия (50500)'!D52</f>
        <v>0</v>
      </c>
      <c r="I63" s="108">
        <f>'Касс.пл.Внеб.(50300)СВОД'!D59</f>
        <v>6726666.28</v>
      </c>
      <c r="J63" s="303">
        <f>'Показатели  по поступлениям'!G42</f>
        <v>7103000</v>
      </c>
      <c r="K63" s="303">
        <f>'Показатели  по поступлениям'!H42</f>
        <v>7103000</v>
      </c>
    </row>
    <row r="64" spans="2:11" s="61" customFormat="1" ht="15">
      <c r="B64" s="57" t="s">
        <v>32</v>
      </c>
      <c r="C64" s="133"/>
      <c r="D64" s="133"/>
      <c r="E64" s="107">
        <f aca="true" t="shared" si="5" ref="E64:E68">F64+G64+H64+I64</f>
        <v>0</v>
      </c>
      <c r="F64" s="108">
        <f>'Касс. план Обл. бюдж.'!D54</f>
        <v>0</v>
      </c>
      <c r="G64" s="108">
        <f>'Касс.пл. ХМАО'!D54</f>
        <v>0</v>
      </c>
      <c r="H64" s="108">
        <f>'Субсидия (50500)'!D53</f>
        <v>0</v>
      </c>
      <c r="I64" s="108">
        <f>'Касс.пл.Внеб.(50300)СВОД'!D60</f>
        <v>0</v>
      </c>
      <c r="J64" s="303">
        <f>'Показатели  по поступлениям'!G43</f>
        <v>0</v>
      </c>
      <c r="K64" s="303">
        <f>'Показатели  по поступлениям'!H43</f>
        <v>0</v>
      </c>
    </row>
    <row r="65" spans="2:11" s="61" customFormat="1" ht="15">
      <c r="B65" s="57" t="s">
        <v>206</v>
      </c>
      <c r="C65" s="133"/>
      <c r="D65" s="133"/>
      <c r="E65" s="107">
        <f>F65+G65+H65+I65</f>
        <v>4947251.28</v>
      </c>
      <c r="F65" s="108">
        <f>'Касс. план Обл. бюдж.'!D55</f>
        <v>330000</v>
      </c>
      <c r="G65" s="108">
        <f>'Касс.пл. ХМАО'!D55</f>
        <v>0</v>
      </c>
      <c r="H65" s="108">
        <f>'Субсидия (50500)'!D54</f>
        <v>0</v>
      </c>
      <c r="I65" s="108">
        <f>'Касс.пл.Внеб.(50300)СВОД'!D61</f>
        <v>4617251.28</v>
      </c>
      <c r="J65" s="303">
        <f>'Показатели  по поступлениям'!G44</f>
        <v>0</v>
      </c>
      <c r="K65" s="303">
        <f>'Показатели  по поступлениям'!H44</f>
        <v>0</v>
      </c>
    </row>
    <row r="66" spans="2:11" s="61" customFormat="1" ht="15">
      <c r="B66" s="57" t="s">
        <v>207</v>
      </c>
      <c r="C66" s="133"/>
      <c r="D66" s="133"/>
      <c r="E66" s="107">
        <f t="shared" si="5"/>
        <v>182085</v>
      </c>
      <c r="F66" s="108">
        <f>'Касс. план Обл. бюдж.'!D56</f>
        <v>16000</v>
      </c>
      <c r="G66" s="108">
        <f>'Касс.пл. ХМАО'!D56</f>
        <v>0</v>
      </c>
      <c r="H66" s="108">
        <f>'Субсидия (50500)'!D55</f>
        <v>0</v>
      </c>
      <c r="I66" s="108">
        <f>'Касс.пл.Внеб.(50300)СВОД'!D62</f>
        <v>166085</v>
      </c>
      <c r="J66" s="303">
        <f>'Показатели  по поступлениям'!G45</f>
        <v>0</v>
      </c>
      <c r="K66" s="303">
        <f>'Показатели  по поступлениям'!H45</f>
        <v>0</v>
      </c>
    </row>
    <row r="67" spans="2:11" s="61" customFormat="1" ht="15">
      <c r="B67" s="57" t="s">
        <v>208</v>
      </c>
      <c r="C67" s="133"/>
      <c r="D67" s="133"/>
      <c r="E67" s="107">
        <f t="shared" si="5"/>
        <v>454358</v>
      </c>
      <c r="F67" s="108">
        <f>'Касс. план Обл. бюдж.'!D57</f>
        <v>0</v>
      </c>
      <c r="G67" s="108">
        <f>'Касс.пл. ХМАО'!D57</f>
        <v>0</v>
      </c>
      <c r="H67" s="108">
        <f>'Субсидия (50500)'!D56</f>
        <v>0</v>
      </c>
      <c r="I67" s="108">
        <f>'Касс.пл.Внеб.(50300)СВОД'!D63</f>
        <v>454358</v>
      </c>
      <c r="J67" s="303">
        <f>'Показатели  по поступлениям'!G46</f>
        <v>0</v>
      </c>
      <c r="K67" s="303">
        <f>'Показатели  по поступлениям'!H46</f>
        <v>0</v>
      </c>
    </row>
    <row r="68" spans="2:11" s="61" customFormat="1" ht="15">
      <c r="B68" s="57" t="s">
        <v>209</v>
      </c>
      <c r="C68" s="133"/>
      <c r="D68" s="133"/>
      <c r="E68" s="107">
        <f t="shared" si="5"/>
        <v>592207</v>
      </c>
      <c r="F68" s="108">
        <f>'Касс. план Обл. бюдж.'!D58</f>
        <v>42000</v>
      </c>
      <c r="G68" s="108">
        <f>'Касс.пл. ХМАО'!D58</f>
        <v>0</v>
      </c>
      <c r="H68" s="108">
        <f>'Субсидия (50500)'!D57</f>
        <v>0</v>
      </c>
      <c r="I68" s="108">
        <f>'Касс.пл.Внеб.(50300)СВОД'!D64</f>
        <v>550207</v>
      </c>
      <c r="J68" s="303">
        <f>'Показатели  по поступлениям'!G47</f>
        <v>0</v>
      </c>
      <c r="K68" s="303">
        <f>'Показатели  по поступлениям'!H47</f>
        <v>0</v>
      </c>
    </row>
    <row r="69" spans="2:11" s="61" customFormat="1" ht="31.5">
      <c r="B69" s="67" t="s">
        <v>72</v>
      </c>
      <c r="C69" s="134"/>
      <c r="D69" s="134">
        <v>500</v>
      </c>
      <c r="E69" s="107">
        <f t="shared" si="1"/>
        <v>0</v>
      </c>
      <c r="F69" s="108">
        <f>'Касс. план Обл. бюдж.'!D59</f>
        <v>0</v>
      </c>
      <c r="G69" s="108">
        <f>'Касс.пл. ХМАО'!D59</f>
        <v>0</v>
      </c>
      <c r="H69" s="108">
        <f>'Субсидия (50500)'!D58</f>
        <v>0</v>
      </c>
      <c r="I69" s="108">
        <f>'Касс.пл.Внеб.(50300)СВОД'!D65</f>
        <v>0</v>
      </c>
      <c r="J69" s="305">
        <f>'Показатели  по поступлениям'!G43</f>
        <v>0</v>
      </c>
      <c r="K69" s="305">
        <f>'Показатели  по поступлениям'!H43</f>
        <v>0</v>
      </c>
    </row>
    <row r="70" spans="2:11" s="61" customFormat="1" ht="15">
      <c r="B70" s="57" t="s">
        <v>32</v>
      </c>
      <c r="C70" s="133"/>
      <c r="D70" s="133"/>
      <c r="E70" s="107"/>
      <c r="F70" s="108"/>
      <c r="G70" s="108"/>
      <c r="H70" s="108"/>
      <c r="I70" s="108">
        <f>'Касс.пл.Внеб.(50300)СВОД'!D66</f>
        <v>0</v>
      </c>
      <c r="J70" s="305">
        <f>'Показатели  по поступлениям'!G44</f>
        <v>0</v>
      </c>
      <c r="K70" s="305">
        <f>'Показатели  по поступлениям'!H44</f>
        <v>0</v>
      </c>
    </row>
    <row r="71" spans="2:11" s="61" customFormat="1" ht="45">
      <c r="B71" s="57" t="s">
        <v>74</v>
      </c>
      <c r="C71" s="133"/>
      <c r="D71" s="133">
        <v>520</v>
      </c>
      <c r="E71" s="107">
        <f t="shared" si="1"/>
        <v>0</v>
      </c>
      <c r="F71" s="108">
        <f>'Касс. план Обл. бюдж.'!D61</f>
        <v>0</v>
      </c>
      <c r="G71" s="108">
        <f>'Касс.пл. ХМАО'!D61</f>
        <v>0</v>
      </c>
      <c r="H71" s="108">
        <f>'Субсидия (50500)'!D60</f>
        <v>0</v>
      </c>
      <c r="I71" s="108">
        <f>'Касс.пл.Внеб.(50300)СВОД'!D67</f>
        <v>0</v>
      </c>
      <c r="J71" s="305">
        <f>'Показатели  по поступлениям'!G45</f>
        <v>0</v>
      </c>
      <c r="K71" s="305">
        <f>'Показатели  по поступлениям'!H45</f>
        <v>0</v>
      </c>
    </row>
    <row r="72" spans="2:11" s="61" customFormat="1" ht="30">
      <c r="B72" s="57" t="s">
        <v>76</v>
      </c>
      <c r="C72" s="133"/>
      <c r="D72" s="133">
        <v>530</v>
      </c>
      <c r="E72" s="107">
        <f t="shared" si="1"/>
        <v>0</v>
      </c>
      <c r="F72" s="108">
        <f>'Касс. план Обл. бюдж.'!D62</f>
        <v>0</v>
      </c>
      <c r="G72" s="108">
        <f>'Касс.пл. ХМАО'!D62</f>
        <v>0</v>
      </c>
      <c r="H72" s="108">
        <f>'Субсидия (50500)'!D61</f>
        <v>0</v>
      </c>
      <c r="I72" s="108">
        <f>'Касс.пл.Внеб.(50300)СВОД'!D68</f>
        <v>0</v>
      </c>
      <c r="J72" s="305">
        <f>'Показатели  по поступлениям'!G46</f>
        <v>0</v>
      </c>
      <c r="K72" s="305">
        <f>'Показатели  по поступлениям'!H46</f>
        <v>0</v>
      </c>
    </row>
    <row r="73" spans="2:11" s="61" customFormat="1" ht="15">
      <c r="B73" s="57" t="s">
        <v>78</v>
      </c>
      <c r="C73" s="133"/>
      <c r="D73" s="133"/>
      <c r="E73" s="107"/>
      <c r="F73" s="108"/>
      <c r="G73" s="108"/>
      <c r="H73" s="108"/>
      <c r="I73" s="108">
        <f>'Касс.пл.Внеб.(50300)СВОД'!D69</f>
        <v>0</v>
      </c>
      <c r="J73" s="305">
        <f>'Показатели  по поступлениям'!G47</f>
        <v>0</v>
      </c>
      <c r="K73" s="305">
        <f>'Показатели  по поступлениям'!H47</f>
        <v>0</v>
      </c>
    </row>
    <row r="74" spans="2:11" s="61" customFormat="1" ht="15">
      <c r="B74" s="57" t="s">
        <v>79</v>
      </c>
      <c r="C74" s="133"/>
      <c r="D74" s="133" t="s">
        <v>36</v>
      </c>
      <c r="E74" s="107">
        <f t="shared" si="1"/>
        <v>0</v>
      </c>
      <c r="F74" s="108">
        <f>'Касс. план Обл. бюдж.'!D64</f>
        <v>0</v>
      </c>
      <c r="G74" s="108">
        <f>'Касс.пл. ХМАО'!D64</f>
        <v>0</v>
      </c>
      <c r="H74" s="108">
        <f>'Субсидия (50500)'!D63</f>
        <v>0</v>
      </c>
      <c r="I74" s="108">
        <f>'Касс.пл.Внеб.(50300)СВОД'!D70</f>
        <v>0</v>
      </c>
      <c r="J74" s="305">
        <f>'Показатели  по поступлениям'!G48</f>
        <v>0</v>
      </c>
      <c r="K74" s="305">
        <f>'Показатели  по поступлениям'!H48</f>
        <v>0</v>
      </c>
    </row>
  </sheetData>
  <sheetProtection password="C541" sheet="1" objects="1" scenarios="1" formatCells="0" formatColumns="0" formatRows="0" insertHyperlinks="0" sort="0" autoFilter="0" pivotTables="0"/>
  <mergeCells count="13">
    <mergeCell ref="J1:K1"/>
    <mergeCell ref="E8:E9"/>
    <mergeCell ref="F8:G8"/>
    <mergeCell ref="H8:H9"/>
    <mergeCell ref="I8:I9"/>
    <mergeCell ref="J8:J9"/>
    <mergeCell ref="K8:K9"/>
    <mergeCell ref="B3:K3"/>
    <mergeCell ref="B5:K5"/>
    <mergeCell ref="B6:K6"/>
    <mergeCell ref="B8:B9"/>
    <mergeCell ref="D8:D9"/>
    <mergeCell ref="C8:C9"/>
  </mergeCells>
  <printOptions/>
  <pageMargins left="1.1811023622047245" right="0.3937007874015748" top="0.3937007874015748" bottom="0.3937007874015748" header="0.15748031496062992" footer="0.15748031496062992"/>
  <pageSetup fitToHeight="1" fitToWidth="1" horizontalDpi="600" verticalDpi="600" orientation="portrait" paperSize="9" scale="44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A66"/>
  <sheetViews>
    <sheetView view="pageBreakPreview" zoomScale="60" workbookViewId="0" topLeftCell="A43">
      <selection activeCell="G2" sqref="G2:J2"/>
    </sheetView>
  </sheetViews>
  <sheetFormatPr defaultColWidth="9.125" defaultRowHeight="12.75"/>
  <cols>
    <col min="1" max="1" width="1.625" style="39" customWidth="1"/>
    <col min="2" max="2" width="54.75390625" style="39" customWidth="1"/>
    <col min="3" max="3" width="11.375" style="39" customWidth="1"/>
    <col min="4" max="4" width="16.00390625" style="39" customWidth="1"/>
    <col min="5" max="5" width="15.625" style="39" customWidth="1"/>
    <col min="6" max="6" width="15.75390625" style="39" customWidth="1"/>
    <col min="7" max="7" width="16.125" style="39" customWidth="1"/>
    <col min="8" max="8" width="15.75390625" style="39" customWidth="1"/>
    <col min="9" max="9" width="18.875" style="39" customWidth="1"/>
    <col min="10" max="10" width="17.625" style="39" customWidth="1"/>
    <col min="11" max="16384" width="9.125" style="39" customWidth="1"/>
  </cols>
  <sheetData>
    <row r="1" spans="7:12" ht="12.75">
      <c r="G1" s="37"/>
      <c r="H1" s="408" t="s">
        <v>201</v>
      </c>
      <c r="I1" s="408"/>
      <c r="J1" s="408"/>
      <c r="K1" s="84"/>
      <c r="L1" s="84"/>
    </row>
    <row r="2" spans="5:10" ht="12.75" customHeight="1">
      <c r="E2" s="37"/>
      <c r="G2" s="415" t="str">
        <f>'Приложение 1'!R2</f>
        <v>к протоколу № 2 от 12.03.2015.</v>
      </c>
      <c r="H2" s="415"/>
      <c r="I2" s="415"/>
      <c r="J2" s="415"/>
    </row>
    <row r="3" spans="5:10" ht="12.75">
      <c r="E3" s="37"/>
      <c r="F3" s="37"/>
      <c r="G3" s="37"/>
      <c r="H3" s="409"/>
      <c r="I3" s="409"/>
      <c r="J3" s="409"/>
    </row>
    <row r="4" spans="6:10" ht="13.15" customHeight="1">
      <c r="F4" s="86"/>
      <c r="G4" s="86"/>
      <c r="H4" s="86"/>
      <c r="I4" s="87" t="s">
        <v>8</v>
      </c>
      <c r="J4" s="86"/>
    </row>
    <row r="5" spans="5:10" ht="16.5" customHeight="1">
      <c r="E5" s="41"/>
      <c r="F5" s="88"/>
      <c r="G5" s="410" t="s">
        <v>229</v>
      </c>
      <c r="H5" s="410"/>
      <c r="I5" s="410"/>
      <c r="J5" s="410"/>
    </row>
    <row r="6" spans="6:10" ht="11.45" customHeight="1">
      <c r="F6" s="88"/>
      <c r="G6" s="37"/>
      <c r="H6" s="88"/>
      <c r="I6" s="89" t="s">
        <v>113</v>
      </c>
      <c r="J6" s="88"/>
    </row>
    <row r="7" spans="5:10" ht="15.6" customHeight="1">
      <c r="E7" s="90" t="s">
        <v>115</v>
      </c>
      <c r="F7" s="90"/>
      <c r="G7" s="413" t="s">
        <v>227</v>
      </c>
      <c r="H7" s="413"/>
      <c r="I7" s="413"/>
      <c r="J7" s="413"/>
    </row>
    <row r="8" spans="6:10" ht="10.9" customHeight="1">
      <c r="F8" s="90"/>
      <c r="G8" s="414" t="s">
        <v>135</v>
      </c>
      <c r="H8" s="414"/>
      <c r="I8" s="414"/>
      <c r="J8" s="414"/>
    </row>
    <row r="9" spans="5:10" ht="12.75">
      <c r="E9" s="91"/>
      <c r="F9" s="91"/>
      <c r="G9" s="128" t="s">
        <v>173</v>
      </c>
      <c r="H9" s="92" t="s">
        <v>211</v>
      </c>
      <c r="I9" s="92"/>
      <c r="J9" s="93"/>
    </row>
    <row r="11" spans="2:10" ht="18">
      <c r="B11" s="411" t="s">
        <v>112</v>
      </c>
      <c r="C11" s="411"/>
      <c r="D11" s="411"/>
      <c r="E11" s="411"/>
      <c r="F11" s="411"/>
      <c r="G11" s="411"/>
      <c r="H11" s="411"/>
      <c r="I11" s="411"/>
      <c r="J11" s="411"/>
    </row>
    <row r="12" spans="2:10" ht="32.25" customHeight="1">
      <c r="B12" s="416" t="s">
        <v>181</v>
      </c>
      <c r="C12" s="416"/>
      <c r="D12" s="416"/>
      <c r="E12" s="416"/>
      <c r="F12" s="416"/>
      <c r="G12" s="416"/>
      <c r="H12" s="416"/>
      <c r="I12" s="416"/>
      <c r="J12" s="416"/>
    </row>
    <row r="13" spans="2:10" ht="16.5">
      <c r="B13" s="417" t="s">
        <v>111</v>
      </c>
      <c r="C13" s="417"/>
      <c r="D13" s="417"/>
      <c r="E13" s="417"/>
      <c r="F13" s="417"/>
      <c r="G13" s="417"/>
      <c r="H13" s="417"/>
      <c r="I13" s="417"/>
      <c r="J13" s="417"/>
    </row>
    <row r="14" spans="2:27" ht="12.75" customHeight="1">
      <c r="B14" s="418" t="str">
        <f>'Заголовочный раздел'!B19:V19</f>
        <v>Автономное стационарное учреждение социального обслуживания населения Тюменской области "Ишимский геронтологический центр"</v>
      </c>
      <c r="C14" s="418"/>
      <c r="D14" s="418"/>
      <c r="E14" s="418"/>
      <c r="F14" s="418"/>
      <c r="G14" s="418"/>
      <c r="H14" s="418"/>
      <c r="I14" s="418"/>
      <c r="J14" s="418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1"/>
      <c r="X14" s="41"/>
      <c r="Y14" s="41"/>
      <c r="Z14" s="41"/>
      <c r="AA14" s="41"/>
    </row>
    <row r="15" spans="2:27" ht="16.5">
      <c r="B15" s="412" t="s">
        <v>4</v>
      </c>
      <c r="C15" s="412"/>
      <c r="D15" s="412"/>
      <c r="E15" s="412"/>
      <c r="F15" s="412"/>
      <c r="G15" s="412"/>
      <c r="H15" s="412"/>
      <c r="I15" s="412"/>
      <c r="J15" s="412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</row>
    <row r="16" spans="2:27" ht="12.75">
      <c r="B16" s="42"/>
      <c r="C16" s="42"/>
      <c r="D16" s="42"/>
      <c r="E16" s="42"/>
      <c r="F16" s="42"/>
      <c r="G16" s="42"/>
      <c r="H16" s="42"/>
      <c r="I16" s="42"/>
      <c r="J16" s="42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</row>
    <row r="17" spans="2:10" ht="12.75">
      <c r="B17" s="421" t="s">
        <v>11</v>
      </c>
      <c r="C17" s="423" t="s">
        <v>35</v>
      </c>
      <c r="D17" s="419" t="s">
        <v>203</v>
      </c>
      <c r="E17" s="425" t="s">
        <v>98</v>
      </c>
      <c r="F17" s="426"/>
      <c r="G17" s="426"/>
      <c r="H17" s="427"/>
      <c r="I17" s="419" t="s">
        <v>143</v>
      </c>
      <c r="J17" s="419" t="s">
        <v>197</v>
      </c>
    </row>
    <row r="18" spans="2:10" ht="18" customHeight="1">
      <c r="B18" s="422"/>
      <c r="C18" s="424"/>
      <c r="D18" s="420"/>
      <c r="E18" s="43" t="s">
        <v>99</v>
      </c>
      <c r="F18" s="43" t="s">
        <v>100</v>
      </c>
      <c r="G18" s="43" t="s">
        <v>101</v>
      </c>
      <c r="H18" s="43" t="s">
        <v>102</v>
      </c>
      <c r="I18" s="420"/>
      <c r="J18" s="420"/>
    </row>
    <row r="19" spans="2:10" ht="18" customHeight="1">
      <c r="B19" s="44" t="s">
        <v>97</v>
      </c>
      <c r="C19" s="45"/>
      <c r="D19" s="111">
        <f>'Касс. план Обл. бюдж.'!D19+'Касс.пл. ХМАО'!D19</f>
        <v>178346.67</v>
      </c>
      <c r="E19" s="111">
        <f>'Касс. план Обл. бюдж.'!E19+'Касс.пл. ХМАО'!E19</f>
        <v>178346.67</v>
      </c>
      <c r="F19" s="111">
        <f>'Касс. план Обл. бюдж.'!F19+'Касс.пл. ХМАО'!F19</f>
        <v>0</v>
      </c>
      <c r="G19" s="111">
        <f>'Касс. план Обл. бюдж.'!G19+'Касс.пл. ХМАО'!G19</f>
        <v>0</v>
      </c>
      <c r="H19" s="111">
        <f>'Касс. план Обл. бюдж.'!H19+'Касс.пл. ХМАО'!H19</f>
        <v>0</v>
      </c>
      <c r="I19" s="111">
        <f>'Касс. план Обл. бюдж.'!I19+'Касс.пл. ХМАО'!I19</f>
        <v>0</v>
      </c>
      <c r="J19" s="111">
        <f>'Касс. план Обл. бюдж.'!J19+'Касс.пл. ХМАО'!J19</f>
        <v>0</v>
      </c>
    </row>
    <row r="20" spans="2:10" ht="18" customHeight="1">
      <c r="B20" s="44" t="s">
        <v>106</v>
      </c>
      <c r="C20" s="45">
        <v>180</v>
      </c>
      <c r="D20" s="112">
        <f>'Касс. план Обл. бюдж.'!D20+'Касс.пл. ХМАО'!D20</f>
        <v>25040000</v>
      </c>
      <c r="E20" s="112">
        <f>'Касс. план Обл. бюдж.'!E20+'Касс.пл. ХМАО'!E20</f>
        <v>5007207</v>
      </c>
      <c r="F20" s="112">
        <f>'Касс. план Обл. бюдж.'!F20+'Касс.пл. ХМАО'!F20</f>
        <v>5760000</v>
      </c>
      <c r="G20" s="112">
        <f>'Касс. план Обл. бюдж.'!G20+'Касс.пл. ХМАО'!G20</f>
        <v>7255000</v>
      </c>
      <c r="H20" s="112">
        <f>'Касс. план Обл. бюдж.'!H20+'Касс.пл. ХМАО'!H20</f>
        <v>7017793</v>
      </c>
      <c r="I20" s="112">
        <f>'Касс. план Обл. бюдж.'!I20+'Касс.пл. ХМАО'!I20</f>
        <v>32993000</v>
      </c>
      <c r="J20" s="112">
        <f>'Касс. план Обл. бюдж.'!J20+'Касс.пл. ХМАО'!J20</f>
        <v>38910000</v>
      </c>
    </row>
    <row r="21" spans="2:10" ht="13.15" customHeight="1">
      <c r="B21" s="44" t="s">
        <v>33</v>
      </c>
      <c r="C21" s="45"/>
      <c r="D21" s="111">
        <f>'Касс. план Обл. бюдж.'!D21+'Касс.пл. ХМАО'!D21</f>
        <v>0</v>
      </c>
      <c r="E21" s="111">
        <f>'Касс. план Обл. бюдж.'!E21+'Касс.пл. ХМАО'!E21</f>
        <v>0</v>
      </c>
      <c r="F21" s="111">
        <f>'Касс. план Обл. бюдж.'!F21+'Касс.пл. ХМАО'!F21</f>
        <v>0</v>
      </c>
      <c r="G21" s="111">
        <f>'Касс. план Обл. бюдж.'!G21+'Касс.пл. ХМАО'!G21</f>
        <v>0</v>
      </c>
      <c r="H21" s="111">
        <f>'Касс. план Обл. бюдж.'!H21+'Касс.пл. ХМАО'!H21</f>
        <v>0</v>
      </c>
      <c r="I21" s="111">
        <f>'Касс. план Обл. бюдж.'!I21+'Касс.пл. ХМАО'!I21</f>
        <v>0</v>
      </c>
      <c r="J21" s="111">
        <f>'Касс. план Обл. бюдж.'!J21+'Касс.пл. ХМАО'!J21</f>
        <v>0</v>
      </c>
    </row>
    <row r="22" spans="2:10" ht="18" customHeight="1">
      <c r="B22" s="44" t="s">
        <v>117</v>
      </c>
      <c r="C22" s="45"/>
      <c r="D22" s="111">
        <f>'Касс. план Обл. бюдж.'!D20</f>
        <v>25040000</v>
      </c>
      <c r="E22" s="111">
        <f>'Касс. план Обл. бюдж.'!E20</f>
        <v>5007207</v>
      </c>
      <c r="F22" s="111">
        <f>'Касс. план Обл. бюдж.'!F20</f>
        <v>5760000</v>
      </c>
      <c r="G22" s="111">
        <f>'Касс. план Обл. бюдж.'!G20</f>
        <v>7255000</v>
      </c>
      <c r="H22" s="111">
        <f>'Касс. план Обл. бюдж.'!H20</f>
        <v>7017793</v>
      </c>
      <c r="I22" s="111">
        <f>'Касс. план Обл. бюдж.'!I20</f>
        <v>32993000</v>
      </c>
      <c r="J22" s="111">
        <f>'Касс. план Обл. бюдж.'!J20</f>
        <v>38910000</v>
      </c>
    </row>
    <row r="23" spans="2:10" ht="18" customHeight="1">
      <c r="B23" s="44" t="s">
        <v>185</v>
      </c>
      <c r="C23" s="45"/>
      <c r="D23" s="111">
        <f>'Касс.пл. ХМАО'!D20</f>
        <v>0</v>
      </c>
      <c r="E23" s="111">
        <f>'Касс.пл. ХМАО'!E20</f>
        <v>0</v>
      </c>
      <c r="F23" s="111">
        <f>'Касс.пл. ХМАО'!F20</f>
        <v>0</v>
      </c>
      <c r="G23" s="111">
        <f>'Касс.пл. ХМАО'!G20</f>
        <v>0</v>
      </c>
      <c r="H23" s="111">
        <f>'Касс.пл. ХМАО'!H20</f>
        <v>0</v>
      </c>
      <c r="I23" s="111">
        <f>'Касс.пл. ХМАО'!I20</f>
        <v>0</v>
      </c>
      <c r="J23" s="111">
        <f>'Касс.пл. ХМАО'!J20</f>
        <v>0</v>
      </c>
    </row>
    <row r="24" spans="2:10" ht="21" customHeight="1">
      <c r="B24" s="44" t="s">
        <v>38</v>
      </c>
      <c r="C24" s="46"/>
      <c r="D24" s="111">
        <f>'Касс. план Обл. бюдж.'!D22+'Касс.пл. ХМАО'!D22</f>
        <v>25218346.67</v>
      </c>
      <c r="E24" s="111">
        <f>'Касс. план Обл. бюдж.'!E22+'Касс.пл. ХМАО'!E22</f>
        <v>5185553.67</v>
      </c>
      <c r="F24" s="111">
        <f>'Касс. план Обл. бюдж.'!F22+'Касс.пл. ХМАО'!F22</f>
        <v>5760000</v>
      </c>
      <c r="G24" s="111">
        <f>'Касс. план Обл. бюдж.'!G22+'Касс.пл. ХМАО'!G22</f>
        <v>7255000</v>
      </c>
      <c r="H24" s="111">
        <f>'Касс. план Обл. бюдж.'!H22+'Касс.пл. ХМАО'!H22</f>
        <v>7017793</v>
      </c>
      <c r="I24" s="111">
        <f>'Касс. план Обл. бюдж.'!I22+'Касс.пл. ХМАО'!I22</f>
        <v>32993000</v>
      </c>
      <c r="J24" s="111">
        <f>'Касс. план Обл. бюдж.'!J22+'Касс.пл. ХМАО'!J22</f>
        <v>38910000</v>
      </c>
    </row>
    <row r="25" spans="2:10" ht="13.9" customHeight="1">
      <c r="B25" s="44" t="s">
        <v>33</v>
      </c>
      <c r="C25" s="46"/>
      <c r="D25" s="111">
        <f>'Касс. план Обл. бюдж.'!D23+'Касс.пл. ХМАО'!D23</f>
        <v>0</v>
      </c>
      <c r="E25" s="111">
        <f>'Касс. план Обл. бюдж.'!E23+'Касс.пл. ХМАО'!E23</f>
        <v>0</v>
      </c>
      <c r="F25" s="111">
        <f>'Касс. план Обл. бюдж.'!F23+'Касс.пл. ХМАО'!F23</f>
        <v>0</v>
      </c>
      <c r="G25" s="111">
        <f>'Касс. план Обл. бюдж.'!G23+'Касс.пл. ХМАО'!G23</f>
        <v>0</v>
      </c>
      <c r="H25" s="111">
        <f>'Касс. план Обл. бюдж.'!H23+'Касс.пл. ХМАО'!H23</f>
        <v>0</v>
      </c>
      <c r="I25" s="111">
        <f>'Касс. план Обл. бюдж.'!I23+'Касс.пл. ХМАО'!I23</f>
        <v>0</v>
      </c>
      <c r="J25" s="111">
        <f>'Касс. план Обл. бюдж.'!J23+'Касс.пл. ХМАО'!J23</f>
        <v>0</v>
      </c>
    </row>
    <row r="26" spans="2:10" s="49" customFormat="1" ht="27.6" customHeight="1">
      <c r="B26" s="47" t="s">
        <v>105</v>
      </c>
      <c r="C26" s="48">
        <v>210</v>
      </c>
      <c r="D26" s="112">
        <f>'Касс. план Обл. бюдж.'!D24+'Касс.пл. ХМАО'!D24</f>
        <v>20625829.67</v>
      </c>
      <c r="E26" s="112">
        <f>'Касс. план Обл. бюдж.'!E24+'Касс.пл. ХМАО'!E24</f>
        <v>4109329.67</v>
      </c>
      <c r="F26" s="112">
        <f>'Касс. план Обл. бюдж.'!F24+'Касс.пл. ХМАО'!F24</f>
        <v>5006000</v>
      </c>
      <c r="G26" s="112">
        <f>'Касс. план Обл. бюдж.'!G24+'Касс.пл. ХМАО'!G24</f>
        <v>5589000</v>
      </c>
      <c r="H26" s="112">
        <f>'Касс. план Обл. бюдж.'!H24+'Касс.пл. ХМАО'!H24</f>
        <v>5921500</v>
      </c>
      <c r="I26" s="112">
        <f>'Касс. план Обл. бюдж.'!I24+'Касс.пл. ХМАО'!I24</f>
        <v>27998952</v>
      </c>
      <c r="J26" s="112">
        <f>'Касс. план Обл. бюдж.'!J24+'Касс.пл. ХМАО'!J24</f>
        <v>33403263</v>
      </c>
    </row>
    <row r="27" spans="2:10" ht="21" customHeight="1">
      <c r="B27" s="50" t="s">
        <v>39</v>
      </c>
      <c r="C27" s="51" t="s">
        <v>40</v>
      </c>
      <c r="D27" s="111">
        <f>'Касс. план Обл. бюдж.'!D25+'Касс.пл. ХМАО'!D25</f>
        <v>16202719</v>
      </c>
      <c r="E27" s="111">
        <f>'Касс. план Обл. бюдж.'!E25+'Касс.пл. ХМАО'!E25</f>
        <v>3203519</v>
      </c>
      <c r="F27" s="111">
        <f>'Касс. план Обл. бюдж.'!F25+'Касс.пл. ХМАО'!F25</f>
        <v>3939800</v>
      </c>
      <c r="G27" s="111">
        <f>'Касс. план Обл. бюдж.'!G25+'Касс.пл. ХМАО'!G25</f>
        <v>4398600</v>
      </c>
      <c r="H27" s="111">
        <f>'Касс. план Обл. бюдж.'!H25+'Касс.пл. ХМАО'!H25</f>
        <v>4660800</v>
      </c>
      <c r="I27" s="111">
        <f>'Касс. план Обл. бюдж.'!I25+'Касс.пл. ХМАО'!I25</f>
        <v>21496000</v>
      </c>
      <c r="J27" s="111">
        <f>'Касс. план Обл. бюдж.'!J25+'Касс.пл. ХМАО'!J25</f>
        <v>25646992</v>
      </c>
    </row>
    <row r="28" spans="2:10" ht="21" customHeight="1">
      <c r="B28" s="50" t="s">
        <v>41</v>
      </c>
      <c r="C28" s="52">
        <v>212</v>
      </c>
      <c r="D28" s="111">
        <f>'Касс. план Обл. бюдж.'!D26+'Касс.пл. ХМАО'!D26</f>
        <v>6000</v>
      </c>
      <c r="E28" s="111">
        <f>'Касс. план Обл. бюдж.'!E26+'Касс.пл. ХМАО'!E26</f>
        <v>1500</v>
      </c>
      <c r="F28" s="111">
        <f>'Касс. план Обл. бюдж.'!F26+'Касс.пл. ХМАО'!F26</f>
        <v>3000</v>
      </c>
      <c r="G28" s="111">
        <f>'Касс. план Обл. бюдж.'!G26+'Касс.пл. ХМАО'!G26</f>
        <v>1500</v>
      </c>
      <c r="H28" s="111">
        <f>'Касс. план Обл. бюдж.'!H26+'Касс.пл. ХМАО'!H26</f>
        <v>0</v>
      </c>
      <c r="I28" s="111">
        <f>'Касс. план Обл. бюдж.'!I26+'Касс.пл. ХМАО'!I26</f>
        <v>6600</v>
      </c>
      <c r="J28" s="111">
        <f>'Касс. план Обл. бюдж.'!J26+'Касс.пл. ХМАО'!J26</f>
        <v>7260</v>
      </c>
    </row>
    <row r="29" spans="2:10" ht="21" customHeight="1">
      <c r="B29" s="50" t="s">
        <v>42</v>
      </c>
      <c r="C29" s="51" t="s">
        <v>43</v>
      </c>
      <c r="D29" s="111">
        <f>'Касс. план Обл. бюдж.'!D27+'Касс.пл. ХМАО'!D27</f>
        <v>4417110.67</v>
      </c>
      <c r="E29" s="111">
        <f>'Касс. план Обл. бюдж.'!E27+'Касс.пл. ХМАО'!E27</f>
        <v>904310.67</v>
      </c>
      <c r="F29" s="111">
        <f>'Касс. план Обл. бюдж.'!F27+'Касс.пл. ХМАО'!F27</f>
        <v>1063200</v>
      </c>
      <c r="G29" s="111">
        <f>'Касс. план Обл. бюдж.'!G27+'Касс.пл. ХМАО'!G27</f>
        <v>1188900</v>
      </c>
      <c r="H29" s="111">
        <f>'Касс. план Обл. бюдж.'!H27+'Касс.пл. ХМАО'!H27</f>
        <v>1260700</v>
      </c>
      <c r="I29" s="111">
        <f>'Касс. план Обл. бюдж.'!I27+'Касс.пл. ХМАО'!I27</f>
        <v>6496352</v>
      </c>
      <c r="J29" s="111">
        <f>'Касс. план Обл. бюдж.'!J27+'Касс.пл. ХМАО'!J27</f>
        <v>7749011</v>
      </c>
    </row>
    <row r="30" spans="2:10" s="49" customFormat="1" ht="21" customHeight="1">
      <c r="B30" s="47" t="s">
        <v>44</v>
      </c>
      <c r="C30" s="53" t="s">
        <v>45</v>
      </c>
      <c r="D30" s="112">
        <f>'Касс. план Обл. бюдж.'!D28+'Касс.пл. ХМАО'!D28</f>
        <v>4154517</v>
      </c>
      <c r="E30" s="112">
        <f>'Касс. план Обл. бюдж.'!E28+'Касс.пл. ХМАО'!E28</f>
        <v>1010224</v>
      </c>
      <c r="F30" s="112">
        <f>'Касс. план Обл. бюдж.'!F28+'Касс.пл. ХМАО'!F28</f>
        <v>659000</v>
      </c>
      <c r="G30" s="112">
        <f>'Касс. план Обл. бюдж.'!G28+'Касс.пл. ХМАО'!G28</f>
        <v>1525500</v>
      </c>
      <c r="H30" s="112">
        <f>'Касс. план Обл. бюдж.'!H28+'Касс.пл. ХМАО'!H28</f>
        <v>959793</v>
      </c>
      <c r="I30" s="112">
        <f>'Касс. план Обл. бюдж.'!I28+'Касс.пл. ХМАО'!I28</f>
        <v>4528448</v>
      </c>
      <c r="J30" s="112">
        <f>'Касс. план Обл. бюдж.'!J28+'Касс.пл. ХМАО'!J28</f>
        <v>4990577</v>
      </c>
    </row>
    <row r="31" spans="2:10" ht="21" customHeight="1">
      <c r="B31" s="50" t="s">
        <v>32</v>
      </c>
      <c r="C31" s="54"/>
      <c r="D31" s="111">
        <f>'Касс. план Обл. бюдж.'!D29+'Касс.пл. ХМАО'!D29</f>
        <v>0</v>
      </c>
      <c r="E31" s="111">
        <f>'Касс. план Обл. бюдж.'!E29+'Касс.пл. ХМАО'!E29</f>
        <v>0</v>
      </c>
      <c r="F31" s="111">
        <f>'Касс. план Обл. бюдж.'!F29+'Касс.пл. ХМАО'!F29</f>
        <v>0</v>
      </c>
      <c r="G31" s="111">
        <f>'Касс. план Обл. бюдж.'!G29+'Касс.пл. ХМАО'!G29</f>
        <v>0</v>
      </c>
      <c r="H31" s="111">
        <f>'Касс. план Обл. бюдж.'!H29+'Касс.пл. ХМАО'!H29</f>
        <v>0</v>
      </c>
      <c r="I31" s="111">
        <f>'Касс. план Обл. бюдж.'!I29+'Касс.пл. ХМАО'!I29</f>
        <v>0</v>
      </c>
      <c r="J31" s="111">
        <f>'Касс. план Обл. бюдж.'!J29+'Касс.пл. ХМАО'!J29</f>
        <v>0</v>
      </c>
    </row>
    <row r="32" spans="2:10" ht="21" customHeight="1">
      <c r="B32" s="50" t="s">
        <v>46</v>
      </c>
      <c r="C32" s="51" t="s">
        <v>47</v>
      </c>
      <c r="D32" s="111">
        <f>'Касс. план Обл. бюдж.'!D30+'Касс.пл. ХМАО'!D30</f>
        <v>112000</v>
      </c>
      <c r="E32" s="111">
        <f>'Касс. план Обл. бюдж.'!E30+'Касс.пл. ХМАО'!E30</f>
        <v>28000</v>
      </c>
      <c r="F32" s="111">
        <f>'Касс. план Обл. бюдж.'!F30+'Касс.пл. ХМАО'!F30</f>
        <v>28000</v>
      </c>
      <c r="G32" s="111">
        <f>'Касс. план Обл. бюдж.'!G30+'Касс.пл. ХМАО'!G30</f>
        <v>28000</v>
      </c>
      <c r="H32" s="111">
        <f>'Касс. план Обл. бюдж.'!H30+'Касс.пл. ХМАО'!H30</f>
        <v>28000</v>
      </c>
      <c r="I32" s="111">
        <f>'Касс. план Обл. бюдж.'!I30+'Касс.пл. ХМАО'!I30</f>
        <v>123200</v>
      </c>
      <c r="J32" s="111">
        <f>'Касс. план Обл. бюдж.'!J30+'Касс.пл. ХМАО'!J30</f>
        <v>135520</v>
      </c>
    </row>
    <row r="33" spans="2:10" ht="21" customHeight="1">
      <c r="B33" s="50" t="s">
        <v>48</v>
      </c>
      <c r="C33" s="51" t="s">
        <v>49</v>
      </c>
      <c r="D33" s="111">
        <f>'Касс. план Обл. бюдж.'!D31+'Касс.пл. ХМАО'!D31</f>
        <v>10000</v>
      </c>
      <c r="E33" s="111">
        <f>'Касс. план Обл. бюдж.'!E31+'Касс.пл. ХМАО'!E31</f>
        <v>2500</v>
      </c>
      <c r="F33" s="111">
        <f>'Касс. план Обл. бюдж.'!F31+'Касс.пл. ХМАО'!F31</f>
        <v>5000</v>
      </c>
      <c r="G33" s="111">
        <f>'Касс. план Обл. бюдж.'!G31+'Касс.пл. ХМАО'!G31</f>
        <v>2500</v>
      </c>
      <c r="H33" s="111">
        <f>'Касс. план Обл. бюдж.'!H31+'Касс.пл. ХМАО'!H31</f>
        <v>0</v>
      </c>
      <c r="I33" s="111">
        <f>'Касс. план Обл. бюдж.'!I31+'Касс.пл. ХМАО'!I31</f>
        <v>11000</v>
      </c>
      <c r="J33" s="111">
        <f>'Касс. план Обл. бюдж.'!J31+'Касс.пл. ХМАО'!J31</f>
        <v>12100</v>
      </c>
    </row>
    <row r="34" spans="2:10" ht="21" customHeight="1">
      <c r="B34" s="50" t="s">
        <v>50</v>
      </c>
      <c r="C34" s="51" t="s">
        <v>51</v>
      </c>
      <c r="D34" s="111">
        <f>'Касс. план Обл. бюдж.'!D32+'Касс.пл. ХМАО'!D32</f>
        <v>2215000</v>
      </c>
      <c r="E34" s="111">
        <f>'Касс. план Обл. бюдж.'!E32+'Касс.пл. ХМАО'!E32</f>
        <v>506207</v>
      </c>
      <c r="F34" s="111">
        <f>'Касс. план Обл. бюдж.'!F32+'Касс.пл. ХМАО'!F32</f>
        <v>506000</v>
      </c>
      <c r="G34" s="111">
        <f>'Касс. план Обл. бюдж.'!G32+'Касс.пл. ХМАО'!G32</f>
        <v>440000</v>
      </c>
      <c r="H34" s="111">
        <f>'Касс. план Обл. бюдж.'!H32+'Касс.пл. ХМАО'!H32</f>
        <v>762793</v>
      </c>
      <c r="I34" s="111">
        <f>'Касс. план Обл. бюдж.'!I32+'Касс.пл. ХМАО'!I32</f>
        <v>2436500</v>
      </c>
      <c r="J34" s="111">
        <f>'Касс. план Обл. бюдж.'!J32+'Касс.пл. ХМАО'!J32</f>
        <v>2680150</v>
      </c>
    </row>
    <row r="35" spans="2:10" ht="21" customHeight="1">
      <c r="B35" s="50" t="s">
        <v>52</v>
      </c>
      <c r="C35" s="51" t="s">
        <v>53</v>
      </c>
      <c r="D35" s="111">
        <f>'Касс. план Обл. бюдж.'!D33+'Касс.пл. ХМАО'!D33</f>
        <v>0</v>
      </c>
      <c r="E35" s="111">
        <f>'Касс. план Обл. бюдж.'!E33+'Касс.пл. ХМАО'!E33</f>
        <v>0</v>
      </c>
      <c r="F35" s="111">
        <f>'Касс. план Обл. бюдж.'!F33+'Касс.пл. ХМАО'!F33</f>
        <v>0</v>
      </c>
      <c r="G35" s="111">
        <f>'Касс. план Обл. бюдж.'!G33+'Касс.пл. ХМАО'!G33</f>
        <v>0</v>
      </c>
      <c r="H35" s="111">
        <f>'Касс. план Обл. бюдж.'!H33+'Касс.пл. ХМАО'!H33</f>
        <v>0</v>
      </c>
      <c r="I35" s="111">
        <f>'Касс. план Обл. бюдж.'!I33+'Касс.пл. ХМАО'!I33</f>
        <v>0</v>
      </c>
      <c r="J35" s="111">
        <f>'Касс. план Обл. бюдж.'!J33+'Касс.пл. ХМАО'!J33</f>
        <v>0</v>
      </c>
    </row>
    <row r="36" spans="2:10" ht="21" customHeight="1">
      <c r="B36" s="50" t="s">
        <v>54</v>
      </c>
      <c r="C36" s="52">
        <v>225</v>
      </c>
      <c r="D36" s="111">
        <f>'Касс. план Обл. бюдж.'!D34+'Касс.пл. ХМАО'!D34</f>
        <v>1585517</v>
      </c>
      <c r="E36" s="111">
        <f>'Касс. план Обл. бюдж.'!E34+'Касс.пл. ХМАО'!E34</f>
        <v>241517</v>
      </c>
      <c r="F36" s="111">
        <f>'Касс. план Обл. бюдж.'!F34+'Касс.пл. ХМАО'!F34</f>
        <v>120000</v>
      </c>
      <c r="G36" s="111">
        <f>'Касс. план Обл. бюдж.'!G34+'Касс.пл. ХМАО'!G34</f>
        <v>1055000</v>
      </c>
      <c r="H36" s="111">
        <f>'Касс. план Обл. бюдж.'!H34+'Касс.пл. ХМАО'!H34</f>
        <v>169000</v>
      </c>
      <c r="I36" s="111">
        <f>'Касс. план Обл. бюдж.'!I34+'Касс.пл. ХМАО'!I34</f>
        <v>756548</v>
      </c>
      <c r="J36" s="111">
        <f>'Касс. план Обл. бюдж.'!J34+'Касс.пл. ХМАО'!J34</f>
        <v>832203</v>
      </c>
    </row>
    <row r="37" spans="2:10" ht="21" customHeight="1">
      <c r="B37" s="16" t="s">
        <v>32</v>
      </c>
      <c r="C37" s="52"/>
      <c r="D37" s="111">
        <f>'Касс. план Обл. бюдж.'!D35+'Касс.пл. ХМАО'!D35</f>
        <v>0</v>
      </c>
      <c r="E37" s="111">
        <f>'Касс. план Обл. бюдж.'!E35+'Касс.пл. ХМАО'!E35</f>
        <v>0</v>
      </c>
      <c r="F37" s="111">
        <f>'Касс. план Обл. бюдж.'!F35+'Касс.пл. ХМАО'!F35</f>
        <v>0</v>
      </c>
      <c r="G37" s="111">
        <f>'Касс. план Обл. бюдж.'!G35+'Касс.пл. ХМАО'!G35</f>
        <v>0</v>
      </c>
      <c r="H37" s="111">
        <f>'Касс. план Обл. бюдж.'!H35+'Касс.пл. ХМАО'!H35</f>
        <v>0</v>
      </c>
      <c r="I37" s="111">
        <f>'Касс. план Обл. бюдж.'!I35+'Касс.пл. ХМАО'!I35</f>
        <v>0</v>
      </c>
      <c r="J37" s="111">
        <f>'Касс. план Обл. бюдж.'!J35+'Касс.пл. ХМАО'!J35</f>
        <v>0</v>
      </c>
    </row>
    <row r="38" spans="2:10" ht="21" customHeight="1">
      <c r="B38" s="16" t="s">
        <v>204</v>
      </c>
      <c r="C38" s="52"/>
      <c r="D38" s="111">
        <f>'Касс. план Обл. бюдж.'!D36+'Касс.пл. ХМАО'!D36</f>
        <v>29000</v>
      </c>
      <c r="E38" s="111">
        <f>'Касс. план Обл. бюдж.'!E36+'Касс.пл. ХМАО'!E36</f>
        <v>4900</v>
      </c>
      <c r="F38" s="111">
        <f>'Касс. план Обл. бюдж.'!F36+'Касс.пл. ХМАО'!F36</f>
        <v>7250</v>
      </c>
      <c r="G38" s="111">
        <f>'Касс. план Обл. бюдж.'!G36+'Касс.пл. ХМАО'!G36</f>
        <v>7250</v>
      </c>
      <c r="H38" s="111">
        <f>'Касс. план Обл. бюдж.'!H36+'Касс.пл. ХМАО'!H36</f>
        <v>9600</v>
      </c>
      <c r="I38" s="111">
        <f>'Касс. план Обл. бюдж.'!I36+'Касс.пл. ХМАО'!I36</f>
        <v>40500</v>
      </c>
      <c r="J38" s="111">
        <f>'Касс. план Обл. бюдж.'!J36+'Касс.пл. ХМАО'!J36</f>
        <v>45000</v>
      </c>
    </row>
    <row r="39" spans="2:10" ht="21" customHeight="1">
      <c r="B39" s="50" t="s">
        <v>110</v>
      </c>
      <c r="C39" s="52">
        <v>226</v>
      </c>
      <c r="D39" s="111">
        <f>'Касс. план Обл. бюдж.'!D37+'Касс.пл. ХМАО'!D37</f>
        <v>232000</v>
      </c>
      <c r="E39" s="111">
        <f>'Касс. план Обл. бюдж.'!E37+'Касс.пл. ХМАО'!E37</f>
        <v>232000</v>
      </c>
      <c r="F39" s="111">
        <f>'Касс. план Обл. бюдж.'!F37+'Касс.пл. ХМАО'!F37</f>
        <v>0</v>
      </c>
      <c r="G39" s="111">
        <f>'Касс. план Обл. бюдж.'!G37+'Касс.пл. ХМАО'!G37</f>
        <v>0</v>
      </c>
      <c r="H39" s="111">
        <f>'Касс. план Обл. бюдж.'!H37+'Касс.пл. ХМАО'!H37</f>
        <v>0</v>
      </c>
      <c r="I39" s="111">
        <f>'Касс. план Обл. бюдж.'!I37+'Касс.пл. ХМАО'!I37</f>
        <v>1201200</v>
      </c>
      <c r="J39" s="111">
        <f>'Касс. план Обл. бюдж.'!J37+'Касс.пл. ХМАО'!J37</f>
        <v>1330604</v>
      </c>
    </row>
    <row r="40" spans="2:10" ht="21" customHeight="1">
      <c r="B40" s="16" t="s">
        <v>32</v>
      </c>
      <c r="C40" s="52"/>
      <c r="D40" s="111">
        <f>'Касс. план Обл. бюдж.'!D38+'Касс.пл. ХМАО'!D38</f>
        <v>0</v>
      </c>
      <c r="E40" s="111">
        <f>'Касс. план Обл. бюдж.'!E38+'Касс.пл. ХМАО'!E38</f>
        <v>0</v>
      </c>
      <c r="F40" s="111">
        <f>'Касс. план Обл. бюдж.'!F38+'Касс.пл. ХМАО'!F38</f>
        <v>0</v>
      </c>
      <c r="G40" s="111">
        <f>'Касс. план Обл. бюдж.'!G38+'Касс.пл. ХМАО'!G38</f>
        <v>0</v>
      </c>
      <c r="H40" s="111">
        <f>'Касс. план Обл. бюдж.'!H38+'Касс.пл. ХМАО'!H38</f>
        <v>0</v>
      </c>
      <c r="I40" s="111">
        <f>'Касс. план Обл. бюдж.'!I38+'Касс.пл. ХМАО'!I38</f>
        <v>0</v>
      </c>
      <c r="J40" s="111">
        <f>'Касс. план Обл. бюдж.'!J38+'Касс.пл. ХМАО'!J38</f>
        <v>0</v>
      </c>
    </row>
    <row r="41" spans="2:10" ht="21" customHeight="1">
      <c r="B41" s="16" t="s">
        <v>205</v>
      </c>
      <c r="C41" s="52"/>
      <c r="D41" s="111">
        <f>'Касс. план Обл. бюдж.'!D39+'Касс.пл. ХМАО'!D39</f>
        <v>0</v>
      </c>
      <c r="E41" s="111">
        <f>'Касс. план Обл. бюдж.'!E39+'Касс.пл. ХМАО'!E39</f>
        <v>0</v>
      </c>
      <c r="F41" s="111">
        <f>'Касс. план Обл. бюдж.'!F39+'Касс.пл. ХМАО'!F39</f>
        <v>0</v>
      </c>
      <c r="G41" s="111">
        <f>'Касс. план Обл. бюдж.'!G39+'Касс.пл. ХМАО'!G39</f>
        <v>0</v>
      </c>
      <c r="H41" s="111">
        <f>'Касс. план Обл. бюдж.'!H39+'Касс.пл. ХМАО'!H39</f>
        <v>0</v>
      </c>
      <c r="I41" s="111">
        <f>'Касс. план Обл. бюдж.'!I39+'Касс.пл. ХМАО'!I39</f>
        <v>0</v>
      </c>
      <c r="J41" s="111">
        <f>'Касс. план Обл. бюдж.'!J39+'Касс.пл. ХМАО'!J39</f>
        <v>0</v>
      </c>
    </row>
    <row r="42" spans="2:10" ht="20.25" customHeight="1">
      <c r="B42" s="47" t="s">
        <v>103</v>
      </c>
      <c r="C42" s="55">
        <v>240</v>
      </c>
      <c r="D42" s="111">
        <f>'Касс. план Обл. бюдж.'!D40+'Касс.пл. ХМАО'!D40</f>
        <v>0</v>
      </c>
      <c r="E42" s="111">
        <f>'Касс. план Обл. бюдж.'!E40+'Касс.пл. ХМАО'!E40</f>
        <v>0</v>
      </c>
      <c r="F42" s="111">
        <f>'Касс. план Обл. бюдж.'!F40+'Касс.пл. ХМАО'!F40</f>
        <v>0</v>
      </c>
      <c r="G42" s="111">
        <f>'Касс. план Обл. бюдж.'!G40+'Касс.пл. ХМАО'!G40</f>
        <v>0</v>
      </c>
      <c r="H42" s="111">
        <f>'Касс. план Обл. бюдж.'!H40+'Касс.пл. ХМАО'!H40</f>
        <v>0</v>
      </c>
      <c r="I42" s="111">
        <f>'Касс. план Обл. бюдж.'!I40+'Касс.пл. ХМАО'!I40</f>
        <v>0</v>
      </c>
      <c r="J42" s="111">
        <f>'Касс. план Обл. бюдж.'!J40+'Касс.пл. ХМАО'!J40</f>
        <v>0</v>
      </c>
    </row>
    <row r="43" spans="2:10" ht="17.25" customHeight="1">
      <c r="B43" s="50" t="s">
        <v>32</v>
      </c>
      <c r="C43" s="52"/>
      <c r="D43" s="111">
        <f>'Касс. план Обл. бюдж.'!D41+'Касс.пл. ХМАО'!D41</f>
        <v>0</v>
      </c>
      <c r="E43" s="111">
        <f>'Касс. план Обл. бюдж.'!E41+'Касс.пл. ХМАО'!E41</f>
        <v>0</v>
      </c>
      <c r="F43" s="111">
        <f>'Касс. план Обл. бюдж.'!F41+'Касс.пл. ХМАО'!F41</f>
        <v>0</v>
      </c>
      <c r="G43" s="111">
        <f>'Касс. план Обл. бюдж.'!G41+'Касс.пл. ХМАО'!G41</f>
        <v>0</v>
      </c>
      <c r="H43" s="111">
        <f>'Касс. план Обл. бюдж.'!H41+'Касс.пл. ХМАО'!H41</f>
        <v>0</v>
      </c>
      <c r="I43" s="111">
        <f>'Касс. план Обл. бюдж.'!I41+'Касс.пл. ХМАО'!I41</f>
        <v>0</v>
      </c>
      <c r="J43" s="111">
        <f>'Касс. план Обл. бюдж.'!J41+'Касс.пл. ХМАО'!J41</f>
        <v>0</v>
      </c>
    </row>
    <row r="44" spans="2:10" ht="30" customHeight="1">
      <c r="B44" s="56" t="s">
        <v>104</v>
      </c>
      <c r="C44" s="51" t="s">
        <v>55</v>
      </c>
      <c r="D44" s="111">
        <f>'Касс. план Обл. бюдж.'!D42+'Касс.пл. ХМАО'!D42</f>
        <v>0</v>
      </c>
      <c r="E44" s="111">
        <f>'Касс. план Обл. бюдж.'!E42+'Касс.пл. ХМАО'!E42</f>
        <v>0</v>
      </c>
      <c r="F44" s="111">
        <f>'Касс. план Обл. бюдж.'!F42+'Касс.пл. ХМАО'!F42</f>
        <v>0</v>
      </c>
      <c r="G44" s="111">
        <f>'Касс. план Обл. бюдж.'!G42+'Касс.пл. ХМАО'!G42</f>
        <v>0</v>
      </c>
      <c r="H44" s="111">
        <f>'Касс. план Обл. бюдж.'!H42+'Касс.пл. ХМАО'!H42</f>
        <v>0</v>
      </c>
      <c r="I44" s="111">
        <f>'Касс. план Обл. бюдж.'!I42+'Касс.пл. ХМАО'!I42</f>
        <v>0</v>
      </c>
      <c r="J44" s="111">
        <f>'Касс. план Обл. бюдж.'!J42+'Касс.пл. ХМАО'!J42</f>
        <v>0</v>
      </c>
    </row>
    <row r="45" spans="2:10" s="49" customFormat="1" ht="21" customHeight="1">
      <c r="B45" s="47" t="s">
        <v>56</v>
      </c>
      <c r="C45" s="53" t="s">
        <v>57</v>
      </c>
      <c r="D45" s="111">
        <f>'Касс. план Обл. бюдж.'!D43+'Касс.пл. ХМАО'!D43</f>
        <v>0</v>
      </c>
      <c r="E45" s="111">
        <f>'Касс. план Обл. бюдж.'!E43+'Касс.пл. ХМАО'!E43</f>
        <v>0</v>
      </c>
      <c r="F45" s="111">
        <f>'Касс. план Обл. бюдж.'!F43+'Касс.пл. ХМАО'!F43</f>
        <v>0</v>
      </c>
      <c r="G45" s="111">
        <f>'Касс. план Обл. бюдж.'!G43+'Касс.пл. ХМАО'!G43</f>
        <v>0</v>
      </c>
      <c r="H45" s="111">
        <f>'Касс. план Обл. бюдж.'!H43+'Касс.пл. ХМАО'!H43</f>
        <v>0</v>
      </c>
      <c r="I45" s="111">
        <f>'Касс. план Обл. бюдж.'!I43+'Касс.пл. ХМАО'!I43</f>
        <v>0</v>
      </c>
      <c r="J45" s="111">
        <f>'Касс. план Обл. бюдж.'!J43+'Касс.пл. ХМАО'!J43</f>
        <v>0</v>
      </c>
    </row>
    <row r="46" spans="2:10" ht="14.25" customHeight="1">
      <c r="B46" s="50" t="s">
        <v>32</v>
      </c>
      <c r="C46" s="54"/>
      <c r="D46" s="111">
        <f>'Касс. план Обл. бюдж.'!D44+'Касс.пл. ХМАО'!D44</f>
        <v>0</v>
      </c>
      <c r="E46" s="111">
        <f>'Касс. план Обл. бюдж.'!E44+'Касс.пл. ХМАО'!E44</f>
        <v>0</v>
      </c>
      <c r="F46" s="111">
        <f>'Касс. план Обл. бюдж.'!F44+'Касс.пл. ХМАО'!F44</f>
        <v>0</v>
      </c>
      <c r="G46" s="111">
        <f>'Касс. план Обл. бюдж.'!G44+'Касс.пл. ХМАО'!G44</f>
        <v>0</v>
      </c>
      <c r="H46" s="111">
        <f>'Касс. план Обл. бюдж.'!H44+'Касс.пл. ХМАО'!H44</f>
        <v>0</v>
      </c>
      <c r="I46" s="111">
        <f>'Касс. план Обл. бюдж.'!I44+'Касс.пл. ХМАО'!I44</f>
        <v>0</v>
      </c>
      <c r="J46" s="111">
        <f>'Касс. план Обл. бюдж.'!J44+'Касс.пл. ХМАО'!J44</f>
        <v>0</v>
      </c>
    </row>
    <row r="47" spans="2:10" ht="21" customHeight="1">
      <c r="B47" s="50" t="s">
        <v>58</v>
      </c>
      <c r="C47" s="51" t="s">
        <v>59</v>
      </c>
      <c r="D47" s="111">
        <f>'Касс. план Обл. бюдж.'!D45+'Касс.пл. ХМАО'!D45</f>
        <v>0</v>
      </c>
      <c r="E47" s="111">
        <f>'Касс. план Обл. бюдж.'!E45+'Касс.пл. ХМАО'!E45</f>
        <v>0</v>
      </c>
      <c r="F47" s="111">
        <f>'Касс. план Обл. бюдж.'!F45+'Касс.пл. ХМАО'!F45</f>
        <v>0</v>
      </c>
      <c r="G47" s="111">
        <f>'Касс. план Обл. бюдж.'!G45+'Касс.пл. ХМАО'!G45</f>
        <v>0</v>
      </c>
      <c r="H47" s="111">
        <f>'Касс. план Обл. бюдж.'!H45+'Касс.пл. ХМАО'!H45</f>
        <v>0</v>
      </c>
      <c r="I47" s="111">
        <f>'Касс. план Обл. бюдж.'!I45+'Касс.пл. ХМАО'!I45</f>
        <v>0</v>
      </c>
      <c r="J47" s="111">
        <f>'Касс. план Обл. бюдж.'!J45+'Касс.пл. ХМАО'!J45</f>
        <v>0</v>
      </c>
    </row>
    <row r="48" spans="2:10" ht="29.25" customHeight="1">
      <c r="B48" s="50" t="s">
        <v>60</v>
      </c>
      <c r="C48" s="51" t="s">
        <v>61</v>
      </c>
      <c r="D48" s="111">
        <f>'Касс. план Обл. бюдж.'!D46+'Касс.пл. ХМАО'!D46</f>
        <v>0</v>
      </c>
      <c r="E48" s="111">
        <f>'Касс. план Обл. бюдж.'!E46+'Касс.пл. ХМАО'!E46</f>
        <v>0</v>
      </c>
      <c r="F48" s="111">
        <f>'Касс. план Обл. бюдж.'!F46+'Касс.пл. ХМАО'!F46</f>
        <v>0</v>
      </c>
      <c r="G48" s="111">
        <f>'Касс. план Обл. бюдж.'!G46+'Касс.пл. ХМАО'!G46</f>
        <v>0</v>
      </c>
      <c r="H48" s="111">
        <f>'Касс. план Обл. бюдж.'!H46+'Касс.пл. ХМАО'!H46</f>
        <v>0</v>
      </c>
      <c r="I48" s="111">
        <f>'Касс. план Обл. бюдж.'!I46+'Касс.пл. ХМАО'!I46</f>
        <v>0</v>
      </c>
      <c r="J48" s="111">
        <f>'Касс. план Обл. бюдж.'!J46+'Касс.пл. ХМАО'!J46</f>
        <v>0</v>
      </c>
    </row>
    <row r="49" spans="2:10" s="49" customFormat="1" ht="21" customHeight="1">
      <c r="B49" s="47" t="s">
        <v>62</v>
      </c>
      <c r="C49" s="53" t="s">
        <v>63</v>
      </c>
      <c r="D49" s="112">
        <f>'Касс. план Обл. бюдж.'!D47+'Касс.пл. ХМАО'!D47</f>
        <v>32000</v>
      </c>
      <c r="E49" s="112">
        <f>'Касс. план Обл. бюдж.'!E47+'Касс.пл. ХМАО'!E47</f>
        <v>6000</v>
      </c>
      <c r="F49" s="112">
        <f>'Касс. план Обл. бюдж.'!F47+'Касс.пл. ХМАО'!F47</f>
        <v>10000</v>
      </c>
      <c r="G49" s="112">
        <f>'Касс. план Обл. бюдж.'!G47+'Касс.пл. ХМАО'!G47</f>
        <v>10000</v>
      </c>
      <c r="H49" s="112">
        <f>'Касс. план Обл. бюдж.'!H47+'Касс.пл. ХМАО'!H47</f>
        <v>6000</v>
      </c>
      <c r="I49" s="112">
        <f>'Касс. план Обл. бюдж.'!I47+'Касс.пл. ХМАО'!I47</f>
        <v>35200</v>
      </c>
      <c r="J49" s="112">
        <f>'Касс. план Обл. бюдж.'!J47+'Касс.пл. ХМАО'!J47</f>
        <v>38720</v>
      </c>
    </row>
    <row r="50" spans="2:10" s="49" customFormat="1" ht="21" customHeight="1">
      <c r="B50" s="47" t="s">
        <v>64</v>
      </c>
      <c r="C50" s="53" t="s">
        <v>65</v>
      </c>
      <c r="D50" s="112">
        <f>'Касс. план Обл. бюдж.'!D48+'Касс.пл. ХМАО'!D48</f>
        <v>406000</v>
      </c>
      <c r="E50" s="112">
        <f>'Касс. план Обл. бюдж.'!E48+'Касс.пл. ХМАО'!E48</f>
        <v>60000</v>
      </c>
      <c r="F50" s="112">
        <f>'Касс. план Обл. бюдж.'!F48+'Касс.пл. ХМАО'!F48</f>
        <v>85000</v>
      </c>
      <c r="G50" s="112">
        <f>'Касс. план Обл. бюдж.'!G48+'Касс.пл. ХМАО'!G48</f>
        <v>130500</v>
      </c>
      <c r="H50" s="112">
        <f>'Касс. план Обл. бюдж.'!H48+'Касс.пл. ХМАО'!H48</f>
        <v>130500</v>
      </c>
      <c r="I50" s="112">
        <f>'Касс. план Обл. бюдж.'!I48+'Касс.пл. ХМАО'!I48</f>
        <v>430400</v>
      </c>
      <c r="J50" s="112">
        <f>'Касс. план Обл. бюдж.'!J48+'Касс.пл. ХМАО'!J48</f>
        <v>477440</v>
      </c>
    </row>
    <row r="51" spans="2:10" ht="16.5" customHeight="1">
      <c r="B51" s="50" t="s">
        <v>32</v>
      </c>
      <c r="C51" s="54"/>
      <c r="D51" s="111">
        <f>'Касс. план Обл. бюдж.'!D49+'Касс.пл. ХМАО'!D49</f>
        <v>0</v>
      </c>
      <c r="E51" s="111">
        <f>'Касс. план Обл. бюдж.'!E49+'Касс.пл. ХМАО'!E49</f>
        <v>0</v>
      </c>
      <c r="F51" s="111">
        <f>'Касс. план Обл. бюдж.'!F49+'Касс.пл. ХМАО'!F49</f>
        <v>0</v>
      </c>
      <c r="G51" s="111">
        <f>'Касс. план Обл. бюдж.'!G49+'Касс.пл. ХМАО'!G49</f>
        <v>0</v>
      </c>
      <c r="H51" s="111">
        <f>'Касс. план Обл. бюдж.'!H49+'Касс.пл. ХМАО'!H49</f>
        <v>0</v>
      </c>
      <c r="I51" s="111">
        <f>'Касс. план Обл. бюдж.'!I49+'Касс.пл. ХМАО'!I49</f>
        <v>0</v>
      </c>
      <c r="J51" s="111">
        <f>'Касс. план Обл. бюдж.'!J49+'Касс.пл. ХМАО'!J49</f>
        <v>0</v>
      </c>
    </row>
    <row r="52" spans="2:10" ht="22.5" customHeight="1">
      <c r="B52" s="50" t="s">
        <v>66</v>
      </c>
      <c r="C52" s="51" t="s">
        <v>67</v>
      </c>
      <c r="D52" s="111">
        <f>'Касс. план Обл. бюдж.'!D50+'Касс.пл. ХМАО'!D50</f>
        <v>0</v>
      </c>
      <c r="E52" s="111">
        <f>'Касс. план Обл. бюдж.'!E50+'Касс.пл. ХМАО'!E50</f>
        <v>0</v>
      </c>
      <c r="F52" s="111">
        <f>'Касс. план Обл. бюдж.'!F50+'Касс.пл. ХМАО'!F50</f>
        <v>0</v>
      </c>
      <c r="G52" s="111">
        <f>'Касс. план Обл. бюдж.'!G50+'Касс.пл. ХМАО'!G50</f>
        <v>0</v>
      </c>
      <c r="H52" s="111">
        <f>'Касс. план Обл. бюдж.'!H50+'Касс.пл. ХМАО'!H50</f>
        <v>0</v>
      </c>
      <c r="I52" s="111">
        <f>'Касс. план Обл. бюдж.'!I50+'Касс.пл. ХМАО'!I50</f>
        <v>70400</v>
      </c>
      <c r="J52" s="111">
        <f>'Касс. план Обл. бюдж.'!J50+'Касс.пл. ХМАО'!J50</f>
        <v>77440</v>
      </c>
    </row>
    <row r="53" spans="2:10" ht="22.5" customHeight="1">
      <c r="B53" s="50" t="s">
        <v>68</v>
      </c>
      <c r="C53" s="51" t="s">
        <v>69</v>
      </c>
      <c r="D53" s="111">
        <f>'Касс. план Обл. бюдж.'!D51+'Касс.пл. ХМАО'!D51</f>
        <v>0</v>
      </c>
      <c r="E53" s="111">
        <f>'Касс. план Обл. бюдж.'!E51+'Касс.пл. ХМАО'!E51</f>
        <v>0</v>
      </c>
      <c r="F53" s="111">
        <f>'Касс. план Обл. бюдж.'!F51+'Касс.пл. ХМАО'!F51</f>
        <v>0</v>
      </c>
      <c r="G53" s="111">
        <f>'Касс. план Обл. бюдж.'!G51+'Касс.пл. ХМАО'!G51</f>
        <v>0</v>
      </c>
      <c r="H53" s="111">
        <f>'Касс. план Обл. бюдж.'!H51+'Касс.пл. ХМАО'!H51</f>
        <v>0</v>
      </c>
      <c r="I53" s="111">
        <f>'Касс. план Обл. бюдж.'!I51+'Касс.пл. ХМАО'!I51</f>
        <v>0</v>
      </c>
      <c r="J53" s="111">
        <f>'Касс. план Обл. бюдж.'!J51+'Касс.пл. ХМАО'!J51</f>
        <v>0</v>
      </c>
    </row>
    <row r="54" spans="2:10" ht="22.5" customHeight="1">
      <c r="B54" s="50" t="s">
        <v>80</v>
      </c>
      <c r="C54" s="51" t="s">
        <v>81</v>
      </c>
      <c r="D54" s="111">
        <f>'Касс. план Обл. бюдж.'!D52+'Касс.пл. ХМАО'!D52</f>
        <v>0</v>
      </c>
      <c r="E54" s="111">
        <f>'Касс. план Обл. бюдж.'!E52+'Касс.пл. ХМАО'!E52</f>
        <v>0</v>
      </c>
      <c r="F54" s="111">
        <f>'Касс. план Обл. бюдж.'!F52+'Касс.пл. ХМАО'!F52</f>
        <v>0</v>
      </c>
      <c r="G54" s="111">
        <f>'Касс. план Обл. бюдж.'!G52+'Касс.пл. ХМАО'!G52</f>
        <v>0</v>
      </c>
      <c r="H54" s="111">
        <f>'Касс. план Обл. бюдж.'!H52+'Касс.пл. ХМАО'!H52</f>
        <v>0</v>
      </c>
      <c r="I54" s="111">
        <f>'Касс. план Обл. бюдж.'!I52+'Касс.пл. ХМАО'!I52</f>
        <v>0</v>
      </c>
      <c r="J54" s="111">
        <f>'Касс. план Обл. бюдж.'!J52+'Касс.пл. ХМАО'!J52</f>
        <v>0</v>
      </c>
    </row>
    <row r="55" spans="2:10" ht="21" customHeight="1">
      <c r="B55" s="50" t="s">
        <v>70</v>
      </c>
      <c r="C55" s="51" t="s">
        <v>71</v>
      </c>
      <c r="D55" s="111">
        <f>'Касс. план Обл. бюдж.'!D53+'Касс.пл. ХМАО'!D53</f>
        <v>406000</v>
      </c>
      <c r="E55" s="111">
        <f>'Касс. план Обл. бюдж.'!E53+'Касс.пл. ХМАО'!E53</f>
        <v>60000</v>
      </c>
      <c r="F55" s="111">
        <f>'Касс. план Обл. бюдж.'!F53+'Касс.пл. ХМАО'!F53</f>
        <v>85000</v>
      </c>
      <c r="G55" s="111">
        <f>'Касс. план Обл. бюдж.'!G53+'Касс.пл. ХМАО'!G53</f>
        <v>130500</v>
      </c>
      <c r="H55" s="111">
        <f>'Касс. план Обл. бюдж.'!H53+'Касс.пл. ХМАО'!H53</f>
        <v>130500</v>
      </c>
      <c r="I55" s="111">
        <f>'Касс. план Обл. бюдж.'!I53+'Касс.пл. ХМАО'!I53</f>
        <v>360000</v>
      </c>
      <c r="J55" s="111">
        <f>'Касс. план Обл. бюдж.'!J53+'Касс.пл. ХМАО'!J53</f>
        <v>400000</v>
      </c>
    </row>
    <row r="56" spans="2:10" ht="21" customHeight="1">
      <c r="B56" s="300" t="s">
        <v>32</v>
      </c>
      <c r="C56" s="51"/>
      <c r="D56" s="111">
        <f>'Касс. план Обл. бюдж.'!D54+'Касс.пл. ХМАО'!D54</f>
        <v>0</v>
      </c>
      <c r="E56" s="111">
        <f>'Касс. план Обл. бюдж.'!E54+'Касс.пл. ХМАО'!E54</f>
        <v>0</v>
      </c>
      <c r="F56" s="111">
        <f>'Касс. план Обл. бюдж.'!F54+'Касс.пл. ХМАО'!F54</f>
        <v>0</v>
      </c>
      <c r="G56" s="111">
        <f>'Касс. план Обл. бюдж.'!G54+'Касс.пл. ХМАО'!G54</f>
        <v>0</v>
      </c>
      <c r="H56" s="111">
        <f>'Касс. план Обл. бюдж.'!H54+'Касс.пл. ХМАО'!H54</f>
        <v>0</v>
      </c>
      <c r="I56" s="111">
        <f>'Касс. план Обл. бюдж.'!I54+'Касс.пл. ХМАО'!I54</f>
        <v>0</v>
      </c>
      <c r="J56" s="111">
        <f>'Касс. план Обл. бюдж.'!J54+'Касс.пл. ХМАО'!J54</f>
        <v>0</v>
      </c>
    </row>
    <row r="57" spans="2:10" ht="21" customHeight="1">
      <c r="B57" s="300" t="s">
        <v>206</v>
      </c>
      <c r="C57" s="51"/>
      <c r="D57" s="111">
        <f>'Касс. план Обл. бюдж.'!D55+'Касс.пл. ХМАО'!D55</f>
        <v>330000</v>
      </c>
      <c r="E57" s="111">
        <f>'Касс. план Обл. бюдж.'!E55+'Касс.пл. ХМАО'!E55</f>
        <v>60000</v>
      </c>
      <c r="F57" s="111">
        <f>'Касс. план Обл. бюдж.'!F55+'Касс.пл. ХМАО'!F55</f>
        <v>85000</v>
      </c>
      <c r="G57" s="111">
        <f>'Касс. план Обл. бюдж.'!G55+'Касс.пл. ХМАО'!G55</f>
        <v>92500</v>
      </c>
      <c r="H57" s="111">
        <f>'Касс. план Обл. бюдж.'!H55+'Касс.пл. ХМАО'!H55</f>
        <v>92500</v>
      </c>
      <c r="I57" s="111">
        <f>'Касс. план Обл. бюдж.'!I55+'Касс.пл. ХМАО'!I55</f>
        <v>360000</v>
      </c>
      <c r="J57" s="111">
        <f>'Касс. план Обл. бюдж.'!J55+'Касс.пл. ХМАО'!J55</f>
        <v>400000</v>
      </c>
    </row>
    <row r="58" spans="2:10" ht="21" customHeight="1">
      <c r="B58" s="300" t="s">
        <v>207</v>
      </c>
      <c r="C58" s="51"/>
      <c r="D58" s="111">
        <f>'Касс. план Обл. бюдж.'!D56+'Касс.пл. ХМАО'!D56</f>
        <v>16000</v>
      </c>
      <c r="E58" s="111">
        <f>'Касс. план Обл. бюдж.'!E56+'Касс.пл. ХМАО'!E56</f>
        <v>0</v>
      </c>
      <c r="F58" s="111">
        <f>'Касс. план Обл. бюдж.'!F56+'Касс.пл. ХМАО'!F56</f>
        <v>0</v>
      </c>
      <c r="G58" s="111">
        <f>'Касс. план Обл. бюдж.'!G56+'Касс.пл. ХМАО'!G56</f>
        <v>8000</v>
      </c>
      <c r="H58" s="111">
        <f>'Касс. план Обл. бюдж.'!H56+'Касс.пл. ХМАО'!H56</f>
        <v>8000</v>
      </c>
      <c r="I58" s="111">
        <f>'Касс. план Обл. бюдж.'!I56+'Касс.пл. ХМАО'!I56</f>
        <v>0</v>
      </c>
      <c r="J58" s="111">
        <f>'Касс. план Обл. бюдж.'!J56+'Касс.пл. ХМАО'!J56</f>
        <v>0</v>
      </c>
    </row>
    <row r="59" spans="2:10" ht="21" customHeight="1">
      <c r="B59" s="300" t="s">
        <v>208</v>
      </c>
      <c r="C59" s="51"/>
      <c r="D59" s="111">
        <f>'Касс. план Обл. бюдж.'!D57+'Касс.пл. ХМАО'!D57</f>
        <v>0</v>
      </c>
      <c r="E59" s="111">
        <f>'Касс. план Обл. бюдж.'!E57+'Касс.пл. ХМАО'!E57</f>
        <v>0</v>
      </c>
      <c r="F59" s="111">
        <f>'Касс. план Обл. бюдж.'!F57+'Касс.пл. ХМАО'!F57</f>
        <v>0</v>
      </c>
      <c r="G59" s="111">
        <f>'Касс. план Обл. бюдж.'!G57+'Касс.пл. ХМАО'!G57</f>
        <v>0</v>
      </c>
      <c r="H59" s="111">
        <f>'Касс. план Обл. бюдж.'!H57+'Касс.пл. ХМАО'!H57</f>
        <v>0</v>
      </c>
      <c r="I59" s="111">
        <f>'Касс. план Обл. бюдж.'!I57+'Касс.пл. ХМАО'!I57</f>
        <v>0</v>
      </c>
      <c r="J59" s="111">
        <f>'Касс. план Обл. бюдж.'!J57+'Касс.пл. ХМАО'!J57</f>
        <v>0</v>
      </c>
    </row>
    <row r="60" spans="2:10" ht="21" customHeight="1">
      <c r="B60" s="300" t="s">
        <v>209</v>
      </c>
      <c r="C60" s="51"/>
      <c r="D60" s="111">
        <f>'Касс. план Обл. бюдж.'!D58+'Касс.пл. ХМАО'!D58</f>
        <v>42000</v>
      </c>
      <c r="E60" s="111">
        <f>'Касс. план Обл. бюдж.'!E58+'Касс.пл. ХМАО'!E58</f>
        <v>0</v>
      </c>
      <c r="F60" s="111">
        <f>'Касс. план Обл. бюдж.'!F58+'Касс.пл. ХМАО'!F58</f>
        <v>0</v>
      </c>
      <c r="G60" s="111">
        <f>'Касс. план Обл. бюдж.'!G58+'Касс.пл. ХМАО'!G58</f>
        <v>21000</v>
      </c>
      <c r="H60" s="111">
        <f>'Касс. план Обл. бюдж.'!H58+'Касс.пл. ХМАО'!H58</f>
        <v>21000</v>
      </c>
      <c r="I60" s="111">
        <f>'Касс. план Обл. бюдж.'!I58+'Касс.пл. ХМАО'!I58</f>
        <v>0</v>
      </c>
      <c r="J60" s="111">
        <f>'Касс. план Обл. бюдж.'!J58+'Касс.пл. ХМАО'!J58</f>
        <v>0</v>
      </c>
    </row>
    <row r="61" spans="2:10" s="49" customFormat="1" ht="21" customHeight="1">
      <c r="B61" s="47" t="s">
        <v>72</v>
      </c>
      <c r="C61" s="53" t="s">
        <v>73</v>
      </c>
      <c r="D61" s="112">
        <f>'Касс. план Обл. бюдж.'!D59+'Касс.пл. ХМАО'!D59</f>
        <v>0</v>
      </c>
      <c r="E61" s="112">
        <f>'Касс. план Обл. бюдж.'!E59+'Касс.пл. ХМАО'!E59</f>
        <v>0</v>
      </c>
      <c r="F61" s="112">
        <f>'Касс. план Обл. бюдж.'!F59+'Касс.пл. ХМАО'!F59</f>
        <v>0</v>
      </c>
      <c r="G61" s="112">
        <f>'Касс. план Обл. бюдж.'!G59+'Касс.пл. ХМАО'!G59</f>
        <v>0</v>
      </c>
      <c r="H61" s="112">
        <f>'Касс. план Обл. бюдж.'!H59+'Касс.пл. ХМАО'!H59</f>
        <v>0</v>
      </c>
      <c r="I61" s="112">
        <f>'Касс. план Обл. бюдж.'!I59+'Касс.пл. ХМАО'!I59</f>
        <v>0</v>
      </c>
      <c r="J61" s="112">
        <f>'Касс. план Обл. бюдж.'!J59+'Касс.пл. ХМАО'!J59</f>
        <v>0</v>
      </c>
    </row>
    <row r="62" spans="2:10" ht="16.5" customHeight="1">
      <c r="B62" s="50" t="s">
        <v>32</v>
      </c>
      <c r="C62" s="54"/>
      <c r="D62" s="111">
        <f>'Касс. план Обл. бюдж.'!D60+'Касс.пл. ХМАО'!D60</f>
        <v>0</v>
      </c>
      <c r="E62" s="111">
        <f>'Касс. план Обл. бюдж.'!E60+'Касс.пл. ХМАО'!E60</f>
        <v>0</v>
      </c>
      <c r="F62" s="111">
        <f>'Касс. план Обл. бюдж.'!F60+'Касс.пл. ХМАО'!F60</f>
        <v>0</v>
      </c>
      <c r="G62" s="111">
        <f>'Касс. план Обл. бюдж.'!G60+'Касс.пл. ХМАО'!G60</f>
        <v>0</v>
      </c>
      <c r="H62" s="111">
        <f>'Касс. план Обл. бюдж.'!H60+'Касс.пл. ХМАО'!H60</f>
        <v>0</v>
      </c>
      <c r="I62" s="111">
        <f>'Касс. план Обл. бюдж.'!I60+'Касс.пл. ХМАО'!I60</f>
        <v>0</v>
      </c>
      <c r="J62" s="111">
        <f>'Касс. план Обл. бюдж.'!J60+'Касс.пл. ХМАО'!J60</f>
        <v>0</v>
      </c>
    </row>
    <row r="63" spans="2:10" ht="33.6" customHeight="1">
      <c r="B63" s="50" t="s">
        <v>74</v>
      </c>
      <c r="C63" s="51" t="s">
        <v>75</v>
      </c>
      <c r="D63" s="111">
        <f>'Касс. план Обл. бюдж.'!D61+'Касс.пл. ХМАО'!D61</f>
        <v>0</v>
      </c>
      <c r="E63" s="111">
        <f>'Касс. план Обл. бюдж.'!E61+'Касс.пл. ХМАО'!E61</f>
        <v>0</v>
      </c>
      <c r="F63" s="111">
        <f>'Касс. план Обл. бюдж.'!F61+'Касс.пл. ХМАО'!F61</f>
        <v>0</v>
      </c>
      <c r="G63" s="111">
        <f>'Касс. план Обл. бюдж.'!G61+'Касс.пл. ХМАО'!G61</f>
        <v>0</v>
      </c>
      <c r="H63" s="111">
        <f>'Касс. план Обл. бюдж.'!H61+'Касс.пл. ХМАО'!H61</f>
        <v>0</v>
      </c>
      <c r="I63" s="111">
        <f>'Касс. план Обл. бюдж.'!I61+'Касс.пл. ХМАО'!I61</f>
        <v>0</v>
      </c>
      <c r="J63" s="111">
        <f>'Касс. план Обл. бюдж.'!J61+'Касс.пл. ХМАО'!J61</f>
        <v>0</v>
      </c>
    </row>
    <row r="64" spans="2:10" ht="31.15" customHeight="1">
      <c r="B64" s="50" t="s">
        <v>76</v>
      </c>
      <c r="C64" s="51" t="s">
        <v>77</v>
      </c>
      <c r="D64" s="111">
        <f>'Касс. план Обл. бюдж.'!D62+'Касс.пл. ХМАО'!D62</f>
        <v>0</v>
      </c>
      <c r="E64" s="111">
        <f>'Касс. план Обл. бюдж.'!E62+'Касс.пл. ХМАО'!E62</f>
        <v>0</v>
      </c>
      <c r="F64" s="111">
        <f>'Касс. план Обл. бюдж.'!F62+'Касс.пл. ХМАО'!F62</f>
        <v>0</v>
      </c>
      <c r="G64" s="111">
        <f>'Касс. план Обл. бюдж.'!G62+'Касс.пл. ХМАО'!G62</f>
        <v>0</v>
      </c>
      <c r="H64" s="111">
        <f>'Касс. план Обл. бюдж.'!H62+'Касс.пл. ХМАО'!H62</f>
        <v>0</v>
      </c>
      <c r="I64" s="111">
        <f>'Касс. план Обл. бюдж.'!I62+'Касс.пл. ХМАО'!I62</f>
        <v>0</v>
      </c>
      <c r="J64" s="111">
        <f>'Касс. план Обл. бюдж.'!J62+'Касс.пл. ХМАО'!J62</f>
        <v>0</v>
      </c>
    </row>
    <row r="65" spans="2:10" ht="21" customHeight="1">
      <c r="B65" s="50" t="s">
        <v>78</v>
      </c>
      <c r="C65" s="54"/>
      <c r="D65" s="111">
        <f>'Касс. план Обл. бюдж.'!D63+'Касс.пл. ХМАО'!D63</f>
        <v>0</v>
      </c>
      <c r="E65" s="111">
        <f>'Касс. план Обл. бюдж.'!E63+'Касс.пл. ХМАО'!E63</f>
        <v>0</v>
      </c>
      <c r="F65" s="111">
        <f>'Касс. план Обл. бюдж.'!F63+'Касс.пл. ХМАО'!F63</f>
        <v>0</v>
      </c>
      <c r="G65" s="111">
        <f>'Касс. план Обл. бюдж.'!G63+'Касс.пл. ХМАО'!G63</f>
        <v>0</v>
      </c>
      <c r="H65" s="111">
        <f>'Касс. план Обл. бюдж.'!H63+'Касс.пл. ХМАО'!H63</f>
        <v>0</v>
      </c>
      <c r="I65" s="111">
        <f>'Касс. план Обл. бюдж.'!I63+'Касс.пл. ХМАО'!I63</f>
        <v>0</v>
      </c>
      <c r="J65" s="111">
        <f>'Касс. план Обл. бюдж.'!J63+'Касс.пл. ХМАО'!J63</f>
        <v>0</v>
      </c>
    </row>
    <row r="66" spans="2:10" ht="21" customHeight="1">
      <c r="B66" s="50" t="s">
        <v>79</v>
      </c>
      <c r="C66" s="51" t="s">
        <v>36</v>
      </c>
      <c r="D66" s="111">
        <f>'Касс. план Обл. бюдж.'!D64+'Касс.пл. ХМАО'!D64</f>
        <v>0</v>
      </c>
      <c r="E66" s="111">
        <f>'Касс. план Обл. бюдж.'!E64+'Касс.пл. ХМАО'!E64</f>
        <v>0</v>
      </c>
      <c r="F66" s="111">
        <f>'Касс. план Обл. бюдж.'!F64+'Касс.пл. ХМАО'!F64</f>
        <v>0</v>
      </c>
      <c r="G66" s="111">
        <f>'Касс. план Обл. бюдж.'!G64+'Касс.пл. ХМАО'!G64</f>
        <v>0</v>
      </c>
      <c r="H66" s="111">
        <f>'Касс. план Обл. бюдж.'!H64+'Касс.пл. ХМАО'!H64</f>
        <v>0</v>
      </c>
      <c r="I66" s="111">
        <f>'Касс. план Обл. бюдж.'!I64+'Касс.пл. ХМАО'!I64</f>
        <v>0</v>
      </c>
      <c r="J66" s="111">
        <f>'Касс. план Обл. бюдж.'!J64+'Касс.пл. ХМАО'!J64</f>
        <v>0</v>
      </c>
    </row>
  </sheetData>
  <sheetProtection password="C541" sheet="1" objects="1" scenarios="1" formatCells="0" formatColumns="0" formatRows="0" insertHyperlinks="0" autoFilter="0" pivotTables="0"/>
  <mergeCells count="17">
    <mergeCell ref="J17:J18"/>
    <mergeCell ref="B17:B18"/>
    <mergeCell ref="C17:C18"/>
    <mergeCell ref="D17:D18"/>
    <mergeCell ref="E17:H17"/>
    <mergeCell ref="I17:I18"/>
    <mergeCell ref="H1:J1"/>
    <mergeCell ref="H3:J3"/>
    <mergeCell ref="G5:J5"/>
    <mergeCell ref="B11:J11"/>
    <mergeCell ref="B15:J15"/>
    <mergeCell ref="G7:J7"/>
    <mergeCell ref="G8:J8"/>
    <mergeCell ref="G2:J2"/>
    <mergeCell ref="B12:J12"/>
    <mergeCell ref="B13:J13"/>
    <mergeCell ref="B14:J14"/>
  </mergeCells>
  <printOptions horizontalCentered="1"/>
  <pageMargins left="1.1811023622047245" right="0.1968503937007874" top="0.1968503937007874" bottom="0.15748031496062992" header="0.15748031496062992" footer="0.15748031496062992"/>
  <pageSetup fitToHeight="1" fitToWidth="1" horizontalDpi="600" verticalDpi="600" orientation="portrait" paperSize="9" scale="49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A64"/>
  <sheetViews>
    <sheetView view="pageBreakPreview" zoomScale="60" workbookViewId="0" topLeftCell="A40">
      <selection activeCell="D48" sqref="D48"/>
    </sheetView>
  </sheetViews>
  <sheetFormatPr defaultColWidth="9.00390625" defaultRowHeight="12.75"/>
  <cols>
    <col min="1" max="1" width="1.25" style="0" customWidth="1"/>
    <col min="2" max="2" width="54.75390625" style="0" customWidth="1"/>
    <col min="3" max="3" width="11.375" style="0" customWidth="1"/>
    <col min="4" max="4" width="16.00390625" style="0" customWidth="1"/>
    <col min="5" max="5" width="14.75390625" style="0" customWidth="1"/>
    <col min="6" max="6" width="15.00390625" style="0" customWidth="1"/>
    <col min="7" max="7" width="15.125" style="0" customWidth="1"/>
    <col min="8" max="8" width="15.25390625" style="0" customWidth="1"/>
    <col min="9" max="9" width="16.125" style="0" customWidth="1"/>
    <col min="10" max="10" width="16.75390625" style="0" customWidth="1"/>
  </cols>
  <sheetData>
    <row r="1" spans="5:10" ht="12.75">
      <c r="E1" s="2"/>
      <c r="F1" s="2"/>
      <c r="G1" s="37"/>
      <c r="H1" s="408"/>
      <c r="I1" s="408"/>
      <c r="J1" s="408"/>
    </row>
    <row r="2" spans="5:10" ht="12.75" customHeight="1">
      <c r="E2" s="2"/>
      <c r="F2" s="2"/>
      <c r="G2" s="415" t="str">
        <f>'Касс. план (50400)'!G2:J2</f>
        <v>к протоколу № 2 от 12.03.2015.</v>
      </c>
      <c r="H2" s="415"/>
      <c r="I2" s="415"/>
      <c r="J2" s="415"/>
    </row>
    <row r="3" spans="5:10" ht="12.75">
      <c r="E3" s="2"/>
      <c r="F3" s="2"/>
      <c r="G3" s="37"/>
      <c r="H3" s="409"/>
      <c r="I3" s="409"/>
      <c r="J3" s="409"/>
    </row>
    <row r="4" spans="5:10" ht="13.15" customHeight="1">
      <c r="E4" s="2"/>
      <c r="F4" s="2"/>
      <c r="G4" s="86"/>
      <c r="H4" s="86"/>
      <c r="I4" s="87" t="s">
        <v>8</v>
      </c>
      <c r="J4" s="86"/>
    </row>
    <row r="5" spans="5:10" ht="24.75" customHeight="1">
      <c r="E5" s="2"/>
      <c r="F5" s="2"/>
      <c r="G5" s="410" t="str">
        <f>'Касс. план (50400)'!G5:J5</f>
        <v>Директор АСУСОН ТО "Ишимский геронтологический центр"</v>
      </c>
      <c r="H5" s="410"/>
      <c r="I5" s="410"/>
      <c r="J5" s="410"/>
    </row>
    <row r="6" spans="5:10" ht="11.45" customHeight="1">
      <c r="E6" s="2"/>
      <c r="F6" s="2"/>
      <c r="G6" s="37"/>
      <c r="H6" s="88"/>
      <c r="I6" s="89" t="s">
        <v>113</v>
      </c>
      <c r="J6" s="88"/>
    </row>
    <row r="7" spans="5:10" ht="15.6" customHeight="1">
      <c r="E7" s="2"/>
      <c r="F7" s="2"/>
      <c r="G7" s="413" t="str">
        <f>'Касс. план (50400)'!G7:J7</f>
        <v>Т.И. Сиюткина</v>
      </c>
      <c r="H7" s="413"/>
      <c r="I7" s="413"/>
      <c r="J7" s="413"/>
    </row>
    <row r="8" spans="5:10" ht="10.9" customHeight="1">
      <c r="E8" s="2"/>
      <c r="F8" s="2"/>
      <c r="G8" s="414" t="s">
        <v>136</v>
      </c>
      <c r="H8" s="414"/>
      <c r="I8" s="414"/>
      <c r="J8" s="414"/>
    </row>
    <row r="9" spans="5:10" ht="12.75">
      <c r="E9" s="2"/>
      <c r="F9" s="2"/>
      <c r="G9" s="128" t="s">
        <v>173</v>
      </c>
      <c r="H9" s="92" t="s">
        <v>202</v>
      </c>
      <c r="I9" s="92"/>
      <c r="J9" s="93"/>
    </row>
    <row r="11" spans="2:10" ht="18">
      <c r="B11" s="438" t="s">
        <v>112</v>
      </c>
      <c r="C11" s="438"/>
      <c r="D11" s="438"/>
      <c r="E11" s="438"/>
      <c r="F11" s="438"/>
      <c r="G11" s="438"/>
      <c r="H11" s="438"/>
      <c r="I11" s="438"/>
      <c r="J11" s="438"/>
    </row>
    <row r="12" spans="2:10" ht="13.9" customHeight="1">
      <c r="B12" s="431" t="s">
        <v>116</v>
      </c>
      <c r="C12" s="431"/>
      <c r="D12" s="431"/>
      <c r="E12" s="431"/>
      <c r="F12" s="431"/>
      <c r="G12" s="431"/>
      <c r="H12" s="431"/>
      <c r="I12" s="431"/>
      <c r="J12" s="431"/>
    </row>
    <row r="13" spans="2:10" ht="16.5">
      <c r="B13" s="436" t="s">
        <v>111</v>
      </c>
      <c r="C13" s="436"/>
      <c r="D13" s="436"/>
      <c r="E13" s="436"/>
      <c r="F13" s="436"/>
      <c r="G13" s="436"/>
      <c r="H13" s="436"/>
      <c r="I13" s="436"/>
      <c r="J13" s="436"/>
    </row>
    <row r="14" spans="2:27" ht="12.75" customHeight="1">
      <c r="B14" s="329" t="str">
        <f>'Касс. план (50400)'!B14:J14</f>
        <v>Автономное стационарное учреждение социального обслуживания населения Тюменской области "Ишимский геронтологический центр"</v>
      </c>
      <c r="C14" s="329"/>
      <c r="D14" s="329"/>
      <c r="E14" s="329"/>
      <c r="F14" s="329"/>
      <c r="G14" s="329"/>
      <c r="H14" s="329"/>
      <c r="I14" s="329"/>
      <c r="J14" s="329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"/>
      <c r="X14" s="1"/>
      <c r="Y14" s="1"/>
      <c r="Z14" s="1"/>
      <c r="AA14" s="1"/>
    </row>
    <row r="15" spans="2:27" ht="16.5">
      <c r="B15" s="437" t="s">
        <v>4</v>
      </c>
      <c r="C15" s="437"/>
      <c r="D15" s="437"/>
      <c r="E15" s="437"/>
      <c r="F15" s="437"/>
      <c r="G15" s="437"/>
      <c r="H15" s="437"/>
      <c r="I15" s="437"/>
      <c r="J15" s="43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2.75">
      <c r="B16" s="5"/>
      <c r="C16" s="5"/>
      <c r="D16" s="5"/>
      <c r="E16" s="5"/>
      <c r="F16" s="5"/>
      <c r="G16" s="5"/>
      <c r="H16" s="5"/>
      <c r="I16" s="5"/>
      <c r="J16" s="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10" ht="12.75">
      <c r="B17" s="432" t="s">
        <v>11</v>
      </c>
      <c r="C17" s="434" t="s">
        <v>35</v>
      </c>
      <c r="D17" s="419" t="s">
        <v>203</v>
      </c>
      <c r="E17" s="428" t="s">
        <v>98</v>
      </c>
      <c r="F17" s="429"/>
      <c r="G17" s="429"/>
      <c r="H17" s="430"/>
      <c r="I17" s="419" t="s">
        <v>143</v>
      </c>
      <c r="J17" s="419" t="s">
        <v>197</v>
      </c>
    </row>
    <row r="18" spans="2:10" ht="18" customHeight="1">
      <c r="B18" s="433"/>
      <c r="C18" s="435"/>
      <c r="D18" s="420"/>
      <c r="E18" s="14" t="s">
        <v>99</v>
      </c>
      <c r="F18" s="14" t="s">
        <v>100</v>
      </c>
      <c r="G18" s="14" t="s">
        <v>101</v>
      </c>
      <c r="H18" s="14" t="s">
        <v>102</v>
      </c>
      <c r="I18" s="420"/>
      <c r="J18" s="420"/>
    </row>
    <row r="19" spans="2:10" ht="18" customHeight="1">
      <c r="B19" s="12" t="s">
        <v>97</v>
      </c>
      <c r="C19" s="15"/>
      <c r="D19" s="124">
        <f>E19+F19+G19+H19</f>
        <v>178346.67</v>
      </c>
      <c r="E19" s="139">
        <f>'Остаток Обл. бюдж.'!E19</f>
        <v>178346.67</v>
      </c>
      <c r="F19" s="139">
        <f>'Остаток Обл. бюдж.'!F19</f>
        <v>0</v>
      </c>
      <c r="G19" s="139">
        <f>'Остаток Обл. бюдж.'!G19</f>
        <v>0</v>
      </c>
      <c r="H19" s="139">
        <f>'Остаток Обл. бюдж.'!H19</f>
        <v>0</v>
      </c>
      <c r="I19" s="139">
        <f>'Остаток Обл. бюдж.'!I19</f>
        <v>0</v>
      </c>
      <c r="J19" s="139">
        <f>'Остаток Обл. бюдж.'!J19</f>
        <v>0</v>
      </c>
    </row>
    <row r="20" spans="2:10" ht="18" customHeight="1">
      <c r="B20" s="12" t="s">
        <v>106</v>
      </c>
      <c r="C20" s="15">
        <v>180</v>
      </c>
      <c r="D20" s="124">
        <f>E20+F20+G20+H20</f>
        <v>25040000</v>
      </c>
      <c r="E20" s="124">
        <f aca="true" t="shared" si="0" ref="E20:J20">E22-E19</f>
        <v>5007207</v>
      </c>
      <c r="F20" s="124">
        <f t="shared" si="0"/>
        <v>5760000</v>
      </c>
      <c r="G20" s="124">
        <f t="shared" si="0"/>
        <v>7255000</v>
      </c>
      <c r="H20" s="124">
        <f t="shared" si="0"/>
        <v>7017793</v>
      </c>
      <c r="I20" s="124">
        <f t="shared" si="0"/>
        <v>32993000</v>
      </c>
      <c r="J20" s="124">
        <f t="shared" si="0"/>
        <v>38910000</v>
      </c>
    </row>
    <row r="21" spans="2:10" ht="17.25" customHeight="1">
      <c r="B21" s="12" t="s">
        <v>33</v>
      </c>
      <c r="C21" s="15"/>
      <c r="D21" s="124"/>
      <c r="E21" s="116"/>
      <c r="F21" s="116"/>
      <c r="G21" s="116"/>
      <c r="H21" s="116"/>
      <c r="I21" s="116"/>
      <c r="J21" s="116"/>
    </row>
    <row r="22" spans="2:10" ht="21" customHeight="1">
      <c r="B22" s="12" t="s">
        <v>38</v>
      </c>
      <c r="C22" s="13"/>
      <c r="D22" s="125">
        <f>E22+F22+G22+H22</f>
        <v>25218346.67</v>
      </c>
      <c r="E22" s="117">
        <f>E24+E28+E40+E43+E47+E48+E59</f>
        <v>5185553.67</v>
      </c>
      <c r="F22" s="117">
        <f>F24+F28+F40+F43+F47+F48+F59+F19</f>
        <v>5760000</v>
      </c>
      <c r="G22" s="117">
        <f>G24+G28+G40+G43+G47+G48+G59+G19</f>
        <v>7255000</v>
      </c>
      <c r="H22" s="117">
        <f>H24+H28+H40+H43+H47+H48+H59+H19</f>
        <v>7017793</v>
      </c>
      <c r="I22" s="117">
        <f>I24+I28+I40+I43+I47+I48+I59+I19</f>
        <v>32993000</v>
      </c>
      <c r="J22" s="117">
        <f>J24+J28+J40+J43+J47+J48+J59+J19</f>
        <v>38910000</v>
      </c>
    </row>
    <row r="23" spans="2:10" ht="13.5" customHeight="1">
      <c r="B23" s="12" t="s">
        <v>33</v>
      </c>
      <c r="C23" s="13"/>
      <c r="D23" s="125"/>
      <c r="E23" s="119"/>
      <c r="F23" s="119"/>
      <c r="G23" s="119"/>
      <c r="H23" s="119"/>
      <c r="I23" s="119"/>
      <c r="J23" s="119"/>
    </row>
    <row r="24" spans="2:10" ht="27.6" customHeight="1">
      <c r="B24" s="17" t="s">
        <v>105</v>
      </c>
      <c r="C24" s="20">
        <v>210</v>
      </c>
      <c r="D24" s="125">
        <f>E24+F24+G24+H24</f>
        <v>20625829.67</v>
      </c>
      <c r="E24" s="125">
        <f>E25+E26+E27</f>
        <v>4109329.67</v>
      </c>
      <c r="F24" s="125">
        <f aca="true" t="shared" si="1" ref="F24:J24">F25+F26+F27</f>
        <v>5006000</v>
      </c>
      <c r="G24" s="125">
        <f t="shared" si="1"/>
        <v>5589000</v>
      </c>
      <c r="H24" s="125">
        <f t="shared" si="1"/>
        <v>5921500</v>
      </c>
      <c r="I24" s="125">
        <f t="shared" si="1"/>
        <v>27998952</v>
      </c>
      <c r="J24" s="125">
        <f t="shared" si="1"/>
        <v>33403263</v>
      </c>
    </row>
    <row r="25" spans="2:10" ht="21" customHeight="1">
      <c r="B25" s="16" t="s">
        <v>39</v>
      </c>
      <c r="C25" s="8" t="s">
        <v>40</v>
      </c>
      <c r="D25" s="125">
        <f>E25+F25+G25+H25</f>
        <v>16202719</v>
      </c>
      <c r="E25" s="120">
        <f>3100000-223000+360800+24243+272776-13400-317900</f>
        <v>3203519</v>
      </c>
      <c r="F25" s="120">
        <f>3947000-195100+97000+90900</f>
        <v>3939800</v>
      </c>
      <c r="G25" s="120">
        <f>4293000-144900+138700+111800</f>
        <v>4398600</v>
      </c>
      <c r="H25" s="120">
        <f>4410000-20800+156400+115200</f>
        <v>4660800</v>
      </c>
      <c r="I25" s="120">
        <v>21496000</v>
      </c>
      <c r="J25" s="120">
        <v>25646992</v>
      </c>
    </row>
    <row r="26" spans="2:10" ht="21" customHeight="1">
      <c r="B26" s="16" t="s">
        <v>41</v>
      </c>
      <c r="C26" s="6">
        <v>212</v>
      </c>
      <c r="D26" s="125">
        <f aca="true" t="shared" si="2" ref="D26:D64">E26+F26+G26+H26</f>
        <v>6000</v>
      </c>
      <c r="E26" s="120">
        <v>1500</v>
      </c>
      <c r="F26" s="120">
        <v>3000</v>
      </c>
      <c r="G26" s="120">
        <v>1500</v>
      </c>
      <c r="H26" s="120"/>
      <c r="I26" s="120">
        <v>6600</v>
      </c>
      <c r="J26" s="120">
        <v>7260</v>
      </c>
    </row>
    <row r="27" spans="2:10" ht="21" customHeight="1">
      <c r="B27" s="16" t="s">
        <v>42</v>
      </c>
      <c r="C27" s="8" t="s">
        <v>43</v>
      </c>
      <c r="D27" s="125">
        <f t="shared" si="2"/>
        <v>4417110.67</v>
      </c>
      <c r="E27" s="120">
        <f>920000-63700+108900+586.67-268776-110600+317900</f>
        <v>904310.67</v>
      </c>
      <c r="F27" s="120">
        <f>1189000-58900+27000-90900-3000</f>
        <v>1063200</v>
      </c>
      <c r="G27" s="120">
        <f>1304000-43800+39000-111800+1500</f>
        <v>1188900</v>
      </c>
      <c r="H27" s="120">
        <f>1337000-6200+43600-115200+1500</f>
        <v>1260700</v>
      </c>
      <c r="I27" s="120">
        <v>6496352</v>
      </c>
      <c r="J27" s="120">
        <v>7749011</v>
      </c>
    </row>
    <row r="28" spans="2:10" ht="21" customHeight="1">
      <c r="B28" s="17" t="s">
        <v>44</v>
      </c>
      <c r="C28" s="10" t="s">
        <v>45</v>
      </c>
      <c r="D28" s="125">
        <f t="shared" si="2"/>
        <v>4154517</v>
      </c>
      <c r="E28" s="125">
        <f aca="true" t="shared" si="3" ref="E28:J28">E30+E31+E32+E33+E34+E37</f>
        <v>1010224</v>
      </c>
      <c r="F28" s="125">
        <f t="shared" si="3"/>
        <v>659000</v>
      </c>
      <c r="G28" s="125">
        <f t="shared" si="3"/>
        <v>1525500</v>
      </c>
      <c r="H28" s="125">
        <f t="shared" si="3"/>
        <v>959793</v>
      </c>
      <c r="I28" s="125">
        <f t="shared" si="3"/>
        <v>4528448</v>
      </c>
      <c r="J28" s="125">
        <f t="shared" si="3"/>
        <v>4990577</v>
      </c>
    </row>
    <row r="29" spans="2:10" ht="13.5" customHeight="1">
      <c r="B29" s="16" t="s">
        <v>32</v>
      </c>
      <c r="C29" s="7"/>
      <c r="D29" s="125"/>
      <c r="E29" s="119"/>
      <c r="F29" s="119"/>
      <c r="G29" s="119"/>
      <c r="H29" s="119"/>
      <c r="I29" s="119"/>
      <c r="J29" s="119"/>
    </row>
    <row r="30" spans="2:10" ht="21" customHeight="1">
      <c r="B30" s="16" t="s">
        <v>46</v>
      </c>
      <c r="C30" s="8" t="s">
        <v>47</v>
      </c>
      <c r="D30" s="125">
        <f t="shared" si="2"/>
        <v>112000</v>
      </c>
      <c r="E30" s="120">
        <v>28000</v>
      </c>
      <c r="F30" s="120">
        <v>28000</v>
      </c>
      <c r="G30" s="120">
        <v>28000</v>
      </c>
      <c r="H30" s="120">
        <v>28000</v>
      </c>
      <c r="I30" s="120">
        <v>123200</v>
      </c>
      <c r="J30" s="120">
        <v>135520</v>
      </c>
    </row>
    <row r="31" spans="2:10" ht="21" customHeight="1">
      <c r="B31" s="16" t="s">
        <v>48</v>
      </c>
      <c r="C31" s="8" t="s">
        <v>49</v>
      </c>
      <c r="D31" s="125">
        <f t="shared" si="2"/>
        <v>10000</v>
      </c>
      <c r="E31" s="120">
        <v>2500</v>
      </c>
      <c r="F31" s="120">
        <v>5000</v>
      </c>
      <c r="G31" s="120">
        <v>2500</v>
      </c>
      <c r="H31" s="120"/>
      <c r="I31" s="120">
        <v>11000</v>
      </c>
      <c r="J31" s="120">
        <v>12100</v>
      </c>
    </row>
    <row r="32" spans="2:10" ht="21" customHeight="1">
      <c r="B32" s="16" t="s">
        <v>50</v>
      </c>
      <c r="C32" s="8" t="s">
        <v>51</v>
      </c>
      <c r="D32" s="125">
        <f t="shared" si="2"/>
        <v>2215000</v>
      </c>
      <c r="E32" s="120">
        <f>644000-137793</f>
        <v>506207</v>
      </c>
      <c r="F32" s="120">
        <v>506000</v>
      </c>
      <c r="G32" s="120">
        <v>440000</v>
      </c>
      <c r="H32" s="120">
        <f>625000+137793</f>
        <v>762793</v>
      </c>
      <c r="I32" s="120">
        <v>2436500</v>
      </c>
      <c r="J32" s="120">
        <v>2680150</v>
      </c>
    </row>
    <row r="33" spans="2:10" ht="21" customHeight="1">
      <c r="B33" s="16" t="s">
        <v>52</v>
      </c>
      <c r="C33" s="8" t="s">
        <v>53</v>
      </c>
      <c r="D33" s="125">
        <f t="shared" si="2"/>
        <v>0</v>
      </c>
      <c r="E33" s="120"/>
      <c r="F33" s="120"/>
      <c r="G33" s="120"/>
      <c r="H33" s="120"/>
      <c r="I33" s="120"/>
      <c r="J33" s="120"/>
    </row>
    <row r="34" spans="2:10" ht="21" customHeight="1">
      <c r="B34" s="16" t="s">
        <v>54</v>
      </c>
      <c r="C34" s="6">
        <v>225</v>
      </c>
      <c r="D34" s="125">
        <f t="shared" si="2"/>
        <v>1585517</v>
      </c>
      <c r="E34" s="120">
        <f>100000+141517</f>
        <v>241517</v>
      </c>
      <c r="F34" s="120">
        <v>120000</v>
      </c>
      <c r="G34" s="120">
        <v>1055000</v>
      </c>
      <c r="H34" s="120">
        <v>169000</v>
      </c>
      <c r="I34" s="120">
        <v>756548</v>
      </c>
      <c r="J34" s="120">
        <v>832203</v>
      </c>
    </row>
    <row r="35" spans="2:10" ht="21" customHeight="1">
      <c r="B35" s="16" t="s">
        <v>32</v>
      </c>
      <c r="C35" s="6"/>
      <c r="D35" s="125"/>
      <c r="E35" s="120"/>
      <c r="F35" s="120"/>
      <c r="G35" s="120"/>
      <c r="H35" s="120"/>
      <c r="I35" s="120"/>
      <c r="J35" s="120"/>
    </row>
    <row r="36" spans="2:10" ht="21" customHeight="1">
      <c r="B36" s="16" t="s">
        <v>204</v>
      </c>
      <c r="C36" s="6"/>
      <c r="D36" s="125">
        <f t="shared" si="2"/>
        <v>29000</v>
      </c>
      <c r="E36" s="120">
        <v>4900</v>
      </c>
      <c r="F36" s="120">
        <v>7250</v>
      </c>
      <c r="G36" s="120">
        <v>7250</v>
      </c>
      <c r="H36" s="120">
        <v>9600</v>
      </c>
      <c r="I36" s="120">
        <v>40500</v>
      </c>
      <c r="J36" s="120">
        <v>45000</v>
      </c>
    </row>
    <row r="37" spans="2:10" ht="21" customHeight="1">
      <c r="B37" s="16" t="s">
        <v>110</v>
      </c>
      <c r="C37" s="6">
        <v>226</v>
      </c>
      <c r="D37" s="125">
        <f t="shared" si="2"/>
        <v>232000</v>
      </c>
      <c r="E37" s="120">
        <f>100000+12000+120000</f>
        <v>232000</v>
      </c>
      <c r="F37" s="120"/>
      <c r="G37" s="120"/>
      <c r="H37" s="120"/>
      <c r="I37" s="120">
        <v>1201200</v>
      </c>
      <c r="J37" s="120">
        <v>1330604</v>
      </c>
    </row>
    <row r="38" spans="2:10" ht="21" customHeight="1">
      <c r="B38" s="16" t="s">
        <v>32</v>
      </c>
      <c r="C38" s="6"/>
      <c r="D38" s="125"/>
      <c r="E38" s="120"/>
      <c r="F38" s="120"/>
      <c r="G38" s="120"/>
      <c r="H38" s="120"/>
      <c r="I38" s="120"/>
      <c r="J38" s="120"/>
    </row>
    <row r="39" spans="2:10" ht="21" customHeight="1">
      <c r="B39" s="16" t="s">
        <v>205</v>
      </c>
      <c r="C39" s="6"/>
      <c r="D39" s="125">
        <f t="shared" si="2"/>
        <v>0</v>
      </c>
      <c r="E39" s="120"/>
      <c r="F39" s="120"/>
      <c r="G39" s="120"/>
      <c r="H39" s="120"/>
      <c r="I39" s="120"/>
      <c r="J39" s="120"/>
    </row>
    <row r="40" spans="2:10" ht="38.45" customHeight="1">
      <c r="B40" s="17" t="s">
        <v>103</v>
      </c>
      <c r="C40" s="9">
        <v>240</v>
      </c>
      <c r="D40" s="125">
        <f t="shared" si="2"/>
        <v>0</v>
      </c>
      <c r="E40" s="125">
        <f aca="true" t="shared" si="4" ref="E40:J40">E42</f>
        <v>0</v>
      </c>
      <c r="F40" s="125">
        <f t="shared" si="4"/>
        <v>0</v>
      </c>
      <c r="G40" s="125">
        <f t="shared" si="4"/>
        <v>0</v>
      </c>
      <c r="H40" s="125">
        <f t="shared" si="4"/>
        <v>0</v>
      </c>
      <c r="I40" s="125">
        <f t="shared" si="4"/>
        <v>0</v>
      </c>
      <c r="J40" s="125">
        <f t="shared" si="4"/>
        <v>0</v>
      </c>
    </row>
    <row r="41" spans="2:10" ht="9.75" customHeight="1">
      <c r="B41" s="16" t="s">
        <v>32</v>
      </c>
      <c r="C41" s="6"/>
      <c r="D41" s="125"/>
      <c r="E41" s="119"/>
      <c r="F41" s="119"/>
      <c r="G41" s="119"/>
      <c r="H41" s="119"/>
      <c r="I41" s="119"/>
      <c r="J41" s="119"/>
    </row>
    <row r="42" spans="2:10" ht="46.15" customHeight="1">
      <c r="B42" s="18" t="s">
        <v>104</v>
      </c>
      <c r="C42" s="8" t="s">
        <v>55</v>
      </c>
      <c r="D42" s="125">
        <f t="shared" si="2"/>
        <v>0</v>
      </c>
      <c r="E42" s="120"/>
      <c r="F42" s="120"/>
      <c r="G42" s="120"/>
      <c r="H42" s="120"/>
      <c r="I42" s="120"/>
      <c r="J42" s="120"/>
    </row>
    <row r="43" spans="2:10" ht="21" customHeight="1">
      <c r="B43" s="17" t="s">
        <v>56</v>
      </c>
      <c r="C43" s="10" t="s">
        <v>57</v>
      </c>
      <c r="D43" s="125">
        <f t="shared" si="2"/>
        <v>0</v>
      </c>
      <c r="E43" s="125">
        <f aca="true" t="shared" si="5" ref="E43:J43">E45+E46</f>
        <v>0</v>
      </c>
      <c r="F43" s="125">
        <f t="shared" si="5"/>
        <v>0</v>
      </c>
      <c r="G43" s="125">
        <f t="shared" si="5"/>
        <v>0</v>
      </c>
      <c r="H43" s="125">
        <f t="shared" si="5"/>
        <v>0</v>
      </c>
      <c r="I43" s="125">
        <f t="shared" si="5"/>
        <v>0</v>
      </c>
      <c r="J43" s="125">
        <f t="shared" si="5"/>
        <v>0</v>
      </c>
    </row>
    <row r="44" spans="2:10" ht="9.75" customHeight="1">
      <c r="B44" s="16" t="s">
        <v>32</v>
      </c>
      <c r="C44" s="7"/>
      <c r="D44" s="125"/>
      <c r="E44" s="119"/>
      <c r="F44" s="119"/>
      <c r="G44" s="119"/>
      <c r="H44" s="119"/>
      <c r="I44" s="119"/>
      <c r="J44" s="119"/>
    </row>
    <row r="45" spans="2:10" ht="21" customHeight="1">
      <c r="B45" s="16" t="s">
        <v>58</v>
      </c>
      <c r="C45" s="8" t="s">
        <v>59</v>
      </c>
      <c r="D45" s="125">
        <f t="shared" si="2"/>
        <v>0</v>
      </c>
      <c r="E45" s="120"/>
      <c r="F45" s="120"/>
      <c r="G45" s="120"/>
      <c r="H45" s="120"/>
      <c r="I45" s="120"/>
      <c r="J45" s="120"/>
    </row>
    <row r="46" spans="2:10" ht="35.45" customHeight="1">
      <c r="B46" s="16" t="s">
        <v>60</v>
      </c>
      <c r="C46" s="8" t="s">
        <v>61</v>
      </c>
      <c r="D46" s="125">
        <f t="shared" si="2"/>
        <v>0</v>
      </c>
      <c r="E46" s="120"/>
      <c r="F46" s="120"/>
      <c r="G46" s="120"/>
      <c r="H46" s="120"/>
      <c r="I46" s="120"/>
      <c r="J46" s="120"/>
    </row>
    <row r="47" spans="2:10" ht="21" customHeight="1">
      <c r="B47" s="17" t="s">
        <v>62</v>
      </c>
      <c r="C47" s="10" t="s">
        <v>63</v>
      </c>
      <c r="D47" s="125">
        <f t="shared" si="2"/>
        <v>32000</v>
      </c>
      <c r="E47" s="121">
        <v>6000</v>
      </c>
      <c r="F47" s="121">
        <v>10000</v>
      </c>
      <c r="G47" s="121">
        <f>20000-10000</f>
        <v>10000</v>
      </c>
      <c r="H47" s="121">
        <v>6000</v>
      </c>
      <c r="I47" s="121">
        <v>35200</v>
      </c>
      <c r="J47" s="121">
        <v>38720</v>
      </c>
    </row>
    <row r="48" spans="2:10" ht="35.45" customHeight="1">
      <c r="B48" s="17" t="s">
        <v>64</v>
      </c>
      <c r="C48" s="10" t="s">
        <v>65</v>
      </c>
      <c r="D48" s="125">
        <f t="shared" si="2"/>
        <v>406000</v>
      </c>
      <c r="E48" s="125">
        <f aca="true" t="shared" si="6" ref="E48:J48">E50+E51+E52+E53</f>
        <v>60000</v>
      </c>
      <c r="F48" s="125">
        <f t="shared" si="6"/>
        <v>85000</v>
      </c>
      <c r="G48" s="125">
        <f t="shared" si="6"/>
        <v>130500</v>
      </c>
      <c r="H48" s="125">
        <f t="shared" si="6"/>
        <v>130500</v>
      </c>
      <c r="I48" s="125">
        <f t="shared" si="6"/>
        <v>430400</v>
      </c>
      <c r="J48" s="125">
        <f t="shared" si="6"/>
        <v>477440</v>
      </c>
    </row>
    <row r="49" spans="2:10" ht="9.75" customHeight="1">
      <c r="B49" s="16" t="s">
        <v>32</v>
      </c>
      <c r="C49" s="7"/>
      <c r="D49" s="125"/>
      <c r="E49" s="119"/>
      <c r="F49" s="119"/>
      <c r="G49" s="119"/>
      <c r="H49" s="119"/>
      <c r="I49" s="119"/>
      <c r="J49" s="119"/>
    </row>
    <row r="50" spans="2:10" ht="27.6" customHeight="1">
      <c r="B50" s="16" t="s">
        <v>66</v>
      </c>
      <c r="C50" s="8" t="s">
        <v>67</v>
      </c>
      <c r="D50" s="125">
        <f t="shared" si="2"/>
        <v>0</v>
      </c>
      <c r="E50" s="120"/>
      <c r="F50" s="120"/>
      <c r="G50" s="120"/>
      <c r="H50" s="120"/>
      <c r="I50" s="120">
        <v>70400</v>
      </c>
      <c r="J50" s="120">
        <v>77440</v>
      </c>
    </row>
    <row r="51" spans="2:10" ht="27.6" customHeight="1">
      <c r="B51" s="16" t="s">
        <v>68</v>
      </c>
      <c r="C51" s="8" t="s">
        <v>69</v>
      </c>
      <c r="D51" s="125">
        <f t="shared" si="2"/>
        <v>0</v>
      </c>
      <c r="E51" s="120"/>
      <c r="F51" s="120"/>
      <c r="G51" s="120"/>
      <c r="H51" s="120"/>
      <c r="I51" s="120"/>
      <c r="J51" s="120"/>
    </row>
    <row r="52" spans="2:10" ht="37.9" customHeight="1">
      <c r="B52" s="16" t="s">
        <v>80</v>
      </c>
      <c r="C52" s="8" t="s">
        <v>81</v>
      </c>
      <c r="D52" s="125">
        <f t="shared" si="2"/>
        <v>0</v>
      </c>
      <c r="E52" s="120"/>
      <c r="F52" s="120"/>
      <c r="G52" s="120"/>
      <c r="H52" s="120"/>
      <c r="I52" s="120"/>
      <c r="J52" s="120"/>
    </row>
    <row r="53" spans="2:10" ht="21" customHeight="1">
      <c r="B53" s="16" t="s">
        <v>70</v>
      </c>
      <c r="C53" s="8" t="s">
        <v>71</v>
      </c>
      <c r="D53" s="125">
        <f t="shared" si="2"/>
        <v>406000</v>
      </c>
      <c r="E53" s="120">
        <v>60000</v>
      </c>
      <c r="F53" s="120">
        <f>90000-5000</f>
        <v>85000</v>
      </c>
      <c r="G53" s="120">
        <f>90000+38000+2500</f>
        <v>130500</v>
      </c>
      <c r="H53" s="120">
        <f>90000+38000+2500</f>
        <v>130500</v>
      </c>
      <c r="I53" s="120">
        <v>360000</v>
      </c>
      <c r="J53" s="120">
        <v>400000</v>
      </c>
    </row>
    <row r="54" spans="2:10" ht="21" customHeight="1">
      <c r="B54" s="16" t="s">
        <v>32</v>
      </c>
      <c r="C54" s="8"/>
      <c r="D54" s="125"/>
      <c r="E54" s="120"/>
      <c r="F54" s="120"/>
      <c r="G54" s="120"/>
      <c r="H54" s="120"/>
      <c r="I54" s="120"/>
      <c r="J54" s="120"/>
    </row>
    <row r="55" spans="2:10" ht="21" customHeight="1">
      <c r="B55" s="16" t="s">
        <v>206</v>
      </c>
      <c r="C55" s="8"/>
      <c r="D55" s="125">
        <f t="shared" si="2"/>
        <v>330000</v>
      </c>
      <c r="E55" s="120">
        <v>60000</v>
      </c>
      <c r="F55" s="120">
        <f>90000-5000</f>
        <v>85000</v>
      </c>
      <c r="G55" s="120">
        <f>90000+2500</f>
        <v>92500</v>
      </c>
      <c r="H55" s="120">
        <f>90000+2500</f>
        <v>92500</v>
      </c>
      <c r="I55" s="120">
        <v>360000</v>
      </c>
      <c r="J55" s="120">
        <v>400000</v>
      </c>
    </row>
    <row r="56" spans="2:10" ht="21" customHeight="1">
      <c r="B56" s="16" t="s">
        <v>207</v>
      </c>
      <c r="C56" s="8"/>
      <c r="D56" s="125">
        <f t="shared" si="2"/>
        <v>16000</v>
      </c>
      <c r="E56" s="120"/>
      <c r="F56" s="120"/>
      <c r="G56" s="120">
        <v>8000</v>
      </c>
      <c r="H56" s="120">
        <v>8000</v>
      </c>
      <c r="I56" s="120"/>
      <c r="J56" s="120"/>
    </row>
    <row r="57" spans="2:10" ht="21" customHeight="1">
      <c r="B57" s="16" t="s">
        <v>208</v>
      </c>
      <c r="C57" s="8"/>
      <c r="D57" s="125">
        <f t="shared" si="2"/>
        <v>0</v>
      </c>
      <c r="E57" s="120"/>
      <c r="F57" s="120"/>
      <c r="G57" s="120"/>
      <c r="H57" s="120"/>
      <c r="I57" s="120"/>
      <c r="J57" s="120"/>
    </row>
    <row r="58" spans="2:10" ht="21" customHeight="1">
      <c r="B58" s="16" t="s">
        <v>209</v>
      </c>
      <c r="C58" s="8"/>
      <c r="D58" s="125">
        <f t="shared" si="2"/>
        <v>42000</v>
      </c>
      <c r="E58" s="120"/>
      <c r="F58" s="120"/>
      <c r="G58" s="120">
        <v>21000</v>
      </c>
      <c r="H58" s="120">
        <v>21000</v>
      </c>
      <c r="I58" s="120"/>
      <c r="J58" s="120"/>
    </row>
    <row r="59" spans="2:10" ht="21" customHeight="1">
      <c r="B59" s="17" t="s">
        <v>72</v>
      </c>
      <c r="C59" s="10" t="s">
        <v>73</v>
      </c>
      <c r="D59" s="125">
        <f t="shared" si="2"/>
        <v>0</v>
      </c>
      <c r="E59" s="125">
        <f aca="true" t="shared" si="7" ref="E59:J59">E61+E62</f>
        <v>0</v>
      </c>
      <c r="F59" s="125">
        <f t="shared" si="7"/>
        <v>0</v>
      </c>
      <c r="G59" s="125">
        <f t="shared" si="7"/>
        <v>0</v>
      </c>
      <c r="H59" s="125">
        <f t="shared" si="7"/>
        <v>0</v>
      </c>
      <c r="I59" s="125">
        <f t="shared" si="7"/>
        <v>0</v>
      </c>
      <c r="J59" s="125">
        <f t="shared" si="7"/>
        <v>0</v>
      </c>
    </row>
    <row r="60" spans="2:10" ht="9.75" customHeight="1">
      <c r="B60" s="16" t="s">
        <v>32</v>
      </c>
      <c r="C60" s="7"/>
      <c r="D60" s="125">
        <f t="shared" si="2"/>
        <v>0</v>
      </c>
      <c r="E60" s="119"/>
      <c r="F60" s="119"/>
      <c r="G60" s="119"/>
      <c r="H60" s="119"/>
      <c r="I60" s="119"/>
      <c r="J60" s="119"/>
    </row>
    <row r="61" spans="2:10" ht="33.6" customHeight="1">
      <c r="B61" s="16" t="s">
        <v>74</v>
      </c>
      <c r="C61" s="8" t="s">
        <v>75</v>
      </c>
      <c r="D61" s="125">
        <f t="shared" si="2"/>
        <v>0</v>
      </c>
      <c r="E61" s="120"/>
      <c r="F61" s="120"/>
      <c r="G61" s="120"/>
      <c r="H61" s="120"/>
      <c r="I61" s="120"/>
      <c r="J61" s="120"/>
    </row>
    <row r="62" spans="2:10" ht="31.15" customHeight="1">
      <c r="B62" s="16" t="s">
        <v>76</v>
      </c>
      <c r="C62" s="8" t="s">
        <v>77</v>
      </c>
      <c r="D62" s="125">
        <f t="shared" si="2"/>
        <v>0</v>
      </c>
      <c r="E62" s="120"/>
      <c r="F62" s="120"/>
      <c r="G62" s="120"/>
      <c r="H62" s="120"/>
      <c r="I62" s="120"/>
      <c r="J62" s="120"/>
    </row>
    <row r="63" spans="2:10" ht="9.75" customHeight="1">
      <c r="B63" s="16" t="s">
        <v>78</v>
      </c>
      <c r="C63" s="7"/>
      <c r="D63" s="125"/>
      <c r="E63" s="119"/>
      <c r="F63" s="119"/>
      <c r="G63" s="119"/>
      <c r="H63" s="119"/>
      <c r="I63" s="119"/>
      <c r="J63" s="119"/>
    </row>
    <row r="64" spans="2:10" ht="21" customHeight="1">
      <c r="B64" s="16" t="s">
        <v>79</v>
      </c>
      <c r="C64" s="8" t="s">
        <v>36</v>
      </c>
      <c r="D64" s="125">
        <f t="shared" si="2"/>
        <v>0</v>
      </c>
      <c r="E64" s="120"/>
      <c r="F64" s="120"/>
      <c r="G64" s="120"/>
      <c r="H64" s="120"/>
      <c r="I64" s="120"/>
      <c r="J64" s="120"/>
    </row>
  </sheetData>
  <sheetProtection password="C541" sheet="1" objects="1" scenarios="1" formatCells="0" formatColumns="0" formatRows="0"/>
  <mergeCells count="17">
    <mergeCell ref="G7:J7"/>
    <mergeCell ref="G8:J8"/>
    <mergeCell ref="B15:J15"/>
    <mergeCell ref="H3:J3"/>
    <mergeCell ref="H1:J1"/>
    <mergeCell ref="B11:J11"/>
    <mergeCell ref="G2:J2"/>
    <mergeCell ref="G5:J5"/>
    <mergeCell ref="E17:H17"/>
    <mergeCell ref="I17:I18"/>
    <mergeCell ref="J17:J18"/>
    <mergeCell ref="B12:J12"/>
    <mergeCell ref="D17:D18"/>
    <mergeCell ref="B17:B18"/>
    <mergeCell ref="C17:C18"/>
    <mergeCell ref="B13:J13"/>
    <mergeCell ref="B14:J14"/>
  </mergeCells>
  <printOptions horizontalCentered="1"/>
  <pageMargins left="1.1811023622047245" right="0.1968503937007874" top="0.15748031496062992" bottom="0.15748031496062992" header="0.15748031496062992" footer="0.15748031496062992"/>
  <pageSetup fitToHeight="1" fitToWidth="1" horizontalDpi="600" verticalDpi="600" orientation="portrait" paperSize="9" scale="51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A64"/>
  <sheetViews>
    <sheetView view="pageBreakPreview" zoomScale="60" workbookViewId="0" topLeftCell="B26">
      <selection activeCell="E26" sqref="E26"/>
    </sheetView>
  </sheetViews>
  <sheetFormatPr defaultColWidth="9.00390625" defaultRowHeight="12.75"/>
  <cols>
    <col min="1" max="1" width="1.25" style="0" customWidth="1"/>
    <col min="2" max="2" width="54.75390625" style="0" customWidth="1"/>
    <col min="3" max="3" width="11.375" style="0" customWidth="1"/>
    <col min="4" max="4" width="16.00390625" style="0" customWidth="1"/>
    <col min="5" max="5" width="14.75390625" style="0" customWidth="1"/>
    <col min="6" max="6" width="15.00390625" style="0" customWidth="1"/>
    <col min="7" max="7" width="15.125" style="0" customWidth="1"/>
    <col min="8" max="8" width="15.25390625" style="0" customWidth="1"/>
    <col min="9" max="9" width="15.125" style="0" customWidth="1"/>
    <col min="10" max="10" width="14.625" style="0" customWidth="1"/>
  </cols>
  <sheetData>
    <row r="1" spans="5:10" ht="12.75">
      <c r="E1" s="2"/>
      <c r="F1" s="2"/>
      <c r="G1" s="37"/>
      <c r="H1" s="408"/>
      <c r="I1" s="408"/>
      <c r="J1" s="408"/>
    </row>
    <row r="2" spans="5:10" ht="12.75" customHeight="1">
      <c r="E2" s="2"/>
      <c r="F2" s="2"/>
      <c r="G2" s="415" t="str">
        <f>'Касс. план Обл. бюдж.'!G2:J2</f>
        <v>к протоколу № 2 от 12.03.2015.</v>
      </c>
      <c r="H2" s="415"/>
      <c r="I2" s="415"/>
      <c r="J2" s="415"/>
    </row>
    <row r="3" spans="5:10" ht="12.75">
      <c r="E3" s="2"/>
      <c r="F3" s="2"/>
      <c r="G3" s="37"/>
      <c r="H3" s="409"/>
      <c r="I3" s="409"/>
      <c r="J3" s="409"/>
    </row>
    <row r="4" spans="5:10" ht="13.15" customHeight="1">
      <c r="E4" s="2"/>
      <c r="F4" s="2"/>
      <c r="G4" s="86"/>
      <c r="H4" s="86"/>
      <c r="I4" s="87" t="s">
        <v>8</v>
      </c>
      <c r="J4" s="86"/>
    </row>
    <row r="5" spans="5:10" ht="24.75" customHeight="1">
      <c r="E5" s="2"/>
      <c r="F5" s="2"/>
      <c r="G5" s="410" t="str">
        <f>'Касс. план (50400)'!G5:J5</f>
        <v>Директор АСУСОН ТО "Ишимский геронтологический центр"</v>
      </c>
      <c r="H5" s="410"/>
      <c r="I5" s="410"/>
      <c r="J5" s="410"/>
    </row>
    <row r="6" spans="5:10" ht="11.45" customHeight="1">
      <c r="E6" s="2"/>
      <c r="F6" s="2"/>
      <c r="G6" s="37"/>
      <c r="H6" s="88"/>
      <c r="I6" s="89" t="s">
        <v>113</v>
      </c>
      <c r="J6" s="88"/>
    </row>
    <row r="7" spans="5:10" ht="15.6" customHeight="1">
      <c r="E7" s="2"/>
      <c r="F7" s="2"/>
      <c r="G7" s="413" t="str">
        <f>'Касс. план (50400)'!G7:J7</f>
        <v>Т.И. Сиюткина</v>
      </c>
      <c r="H7" s="413"/>
      <c r="I7" s="413"/>
      <c r="J7" s="413"/>
    </row>
    <row r="8" spans="5:10" ht="10.9" customHeight="1">
      <c r="E8" s="2"/>
      <c r="F8" s="2"/>
      <c r="G8" s="414" t="s">
        <v>136</v>
      </c>
      <c r="H8" s="414"/>
      <c r="I8" s="414"/>
      <c r="J8" s="414"/>
    </row>
    <row r="9" spans="5:10" ht="12.75">
      <c r="E9" s="2"/>
      <c r="F9" s="2"/>
      <c r="G9" s="128" t="s">
        <v>173</v>
      </c>
      <c r="H9" s="92" t="s">
        <v>202</v>
      </c>
      <c r="I9" s="92"/>
      <c r="J9" s="93"/>
    </row>
    <row r="11" spans="2:10" ht="18">
      <c r="B11" s="438" t="s">
        <v>112</v>
      </c>
      <c r="C11" s="438"/>
      <c r="D11" s="438"/>
      <c r="E11" s="438"/>
      <c r="F11" s="438"/>
      <c r="G11" s="438"/>
      <c r="H11" s="438"/>
      <c r="I11" s="438"/>
      <c r="J11" s="438"/>
    </row>
    <row r="12" spans="2:10" ht="13.9" customHeight="1">
      <c r="B12" s="431" t="s">
        <v>212</v>
      </c>
      <c r="C12" s="431"/>
      <c r="D12" s="431"/>
      <c r="E12" s="431"/>
      <c r="F12" s="431"/>
      <c r="G12" s="431"/>
      <c r="H12" s="431"/>
      <c r="I12" s="431"/>
      <c r="J12" s="431"/>
    </row>
    <row r="13" spans="2:10" ht="16.5">
      <c r="B13" s="436" t="s">
        <v>111</v>
      </c>
      <c r="C13" s="436"/>
      <c r="D13" s="436"/>
      <c r="E13" s="436"/>
      <c r="F13" s="436"/>
      <c r="G13" s="436"/>
      <c r="H13" s="436"/>
      <c r="I13" s="436"/>
      <c r="J13" s="436"/>
    </row>
    <row r="14" spans="2:27" ht="12.75" customHeight="1">
      <c r="B14" s="329" t="str">
        <f>'Касс. план (50400)'!B14:J14</f>
        <v>Автономное стационарное учреждение социального обслуживания населения Тюменской области "Ишимский геронтологический центр"</v>
      </c>
      <c r="C14" s="329"/>
      <c r="D14" s="329"/>
      <c r="E14" s="329"/>
      <c r="F14" s="329"/>
      <c r="G14" s="329"/>
      <c r="H14" s="329"/>
      <c r="I14" s="329"/>
      <c r="J14" s="329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"/>
      <c r="X14" s="1"/>
      <c r="Y14" s="1"/>
      <c r="Z14" s="1"/>
      <c r="AA14" s="1"/>
    </row>
    <row r="15" spans="2:27" ht="16.5">
      <c r="B15" s="437" t="s">
        <v>4</v>
      </c>
      <c r="C15" s="437"/>
      <c r="D15" s="437"/>
      <c r="E15" s="437"/>
      <c r="F15" s="437"/>
      <c r="G15" s="437"/>
      <c r="H15" s="437"/>
      <c r="I15" s="437"/>
      <c r="J15" s="43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2.75">
      <c r="B16" s="5"/>
      <c r="C16" s="5"/>
      <c r="D16" s="5"/>
      <c r="E16" s="5"/>
      <c r="F16" s="5"/>
      <c r="G16" s="5"/>
      <c r="H16" s="5"/>
      <c r="I16" s="5"/>
      <c r="J16" s="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10" ht="12.75">
      <c r="B17" s="432" t="s">
        <v>11</v>
      </c>
      <c r="C17" s="434" t="s">
        <v>35</v>
      </c>
      <c r="D17" s="419" t="s">
        <v>203</v>
      </c>
      <c r="E17" s="428" t="s">
        <v>98</v>
      </c>
      <c r="F17" s="429"/>
      <c r="G17" s="429"/>
      <c r="H17" s="430"/>
      <c r="I17" s="419" t="s">
        <v>143</v>
      </c>
      <c r="J17" s="419" t="s">
        <v>197</v>
      </c>
    </row>
    <row r="18" spans="2:10" ht="18" customHeight="1">
      <c r="B18" s="433"/>
      <c r="C18" s="435"/>
      <c r="D18" s="420"/>
      <c r="E18" s="131" t="s">
        <v>99</v>
      </c>
      <c r="F18" s="131" t="s">
        <v>100</v>
      </c>
      <c r="G18" s="131" t="s">
        <v>101</v>
      </c>
      <c r="H18" s="131" t="s">
        <v>102</v>
      </c>
      <c r="I18" s="420"/>
      <c r="J18" s="420"/>
    </row>
    <row r="19" spans="2:10" ht="18" customHeight="1">
      <c r="B19" s="12" t="s">
        <v>97</v>
      </c>
      <c r="C19" s="15"/>
      <c r="D19" s="124">
        <f>E19+F19+G19+H19</f>
        <v>178346.67</v>
      </c>
      <c r="E19" s="115">
        <v>178346.67</v>
      </c>
      <c r="F19" s="115"/>
      <c r="G19" s="115"/>
      <c r="H19" s="115"/>
      <c r="I19" s="115"/>
      <c r="J19" s="115"/>
    </row>
    <row r="20" spans="2:10" ht="18" customHeight="1">
      <c r="B20" s="12" t="s">
        <v>106</v>
      </c>
      <c r="C20" s="15"/>
      <c r="D20" s="124">
        <f>E20+F20+G20+H20</f>
        <v>0</v>
      </c>
      <c r="E20" s="124">
        <f aca="true" t="shared" si="0" ref="E20:J20">E22-E19</f>
        <v>0</v>
      </c>
      <c r="F20" s="124">
        <f t="shared" si="0"/>
        <v>0</v>
      </c>
      <c r="G20" s="124">
        <f t="shared" si="0"/>
        <v>0</v>
      </c>
      <c r="H20" s="124">
        <f t="shared" si="0"/>
        <v>0</v>
      </c>
      <c r="I20" s="124">
        <f t="shared" si="0"/>
        <v>0</v>
      </c>
      <c r="J20" s="124">
        <f t="shared" si="0"/>
        <v>0</v>
      </c>
    </row>
    <row r="21" spans="2:10" ht="9.75" customHeight="1">
      <c r="B21" s="12" t="s">
        <v>33</v>
      </c>
      <c r="C21" s="15"/>
      <c r="D21" s="124"/>
      <c r="E21" s="116"/>
      <c r="F21" s="116"/>
      <c r="G21" s="116"/>
      <c r="H21" s="116"/>
      <c r="I21" s="116"/>
      <c r="J21" s="116"/>
    </row>
    <row r="22" spans="2:10" ht="21" customHeight="1">
      <c r="B22" s="12" t="s">
        <v>38</v>
      </c>
      <c r="C22" s="13"/>
      <c r="D22" s="125">
        <f>E22+F22+G22+H22</f>
        <v>178346.66999999998</v>
      </c>
      <c r="E22" s="117">
        <f>E24+E28+E40+E43+E47+E48+E59</f>
        <v>178346.66999999998</v>
      </c>
      <c r="F22" s="117">
        <f>F24+F28+F40+F43+F47+F48+F59+F19</f>
        <v>0</v>
      </c>
      <c r="G22" s="117">
        <f>G24+G28+G40+G43+G47+G48+G59+G19</f>
        <v>0</v>
      </c>
      <c r="H22" s="117">
        <f>H24+H28+H40+H43+H47+H48+H59+H19</f>
        <v>0</v>
      </c>
      <c r="I22" s="117">
        <f>I24+I28+I40+I43+I47+I48+I59+I19</f>
        <v>0</v>
      </c>
      <c r="J22" s="117">
        <f>J24+J28+J40+J43+J47+J48+J59+J19</f>
        <v>0</v>
      </c>
    </row>
    <row r="23" spans="2:10" ht="9.75" customHeight="1">
      <c r="B23" s="12" t="s">
        <v>33</v>
      </c>
      <c r="C23" s="13"/>
      <c r="D23" s="125"/>
      <c r="E23" s="119"/>
      <c r="F23" s="119"/>
      <c r="G23" s="119"/>
      <c r="H23" s="119"/>
      <c r="I23" s="119"/>
      <c r="J23" s="119"/>
    </row>
    <row r="24" spans="2:10" ht="27.6" customHeight="1">
      <c r="B24" s="17" t="s">
        <v>105</v>
      </c>
      <c r="C24" s="20">
        <v>210</v>
      </c>
      <c r="D24" s="125">
        <f>E24+F24+G24+H24</f>
        <v>24829.67</v>
      </c>
      <c r="E24" s="125">
        <f aca="true" t="shared" si="1" ref="E24:J24">E25+E26+E27</f>
        <v>24829.67</v>
      </c>
      <c r="F24" s="125">
        <f t="shared" si="1"/>
        <v>0</v>
      </c>
      <c r="G24" s="125">
        <f t="shared" si="1"/>
        <v>0</v>
      </c>
      <c r="H24" s="125">
        <f t="shared" si="1"/>
        <v>0</v>
      </c>
      <c r="I24" s="125">
        <f t="shared" si="1"/>
        <v>0</v>
      </c>
      <c r="J24" s="125">
        <f t="shared" si="1"/>
        <v>0</v>
      </c>
    </row>
    <row r="25" spans="2:10" ht="21" customHeight="1">
      <c r="B25" s="16" t="s">
        <v>39</v>
      </c>
      <c r="C25" s="8" t="s">
        <v>40</v>
      </c>
      <c r="D25" s="125">
        <f>E25+F25+G25+H25</f>
        <v>24243</v>
      </c>
      <c r="E25" s="120">
        <v>24243</v>
      </c>
      <c r="F25" s="120"/>
      <c r="G25" s="120"/>
      <c r="H25" s="120"/>
      <c r="I25" s="120"/>
      <c r="J25" s="120"/>
    </row>
    <row r="26" spans="2:10" ht="21" customHeight="1">
      <c r="B26" s="16" t="s">
        <v>41</v>
      </c>
      <c r="C26" s="6">
        <v>212</v>
      </c>
      <c r="D26" s="125">
        <f aca="true" t="shared" si="2" ref="D26:D64">E26+F26+G26+H26</f>
        <v>0</v>
      </c>
      <c r="E26" s="120"/>
      <c r="F26" s="120"/>
      <c r="G26" s="120"/>
      <c r="H26" s="120"/>
      <c r="I26" s="120"/>
      <c r="J26" s="120"/>
    </row>
    <row r="27" spans="2:10" ht="21" customHeight="1">
      <c r="B27" s="16" t="s">
        <v>42</v>
      </c>
      <c r="C27" s="8" t="s">
        <v>43</v>
      </c>
      <c r="D27" s="125">
        <f t="shared" si="2"/>
        <v>586.67</v>
      </c>
      <c r="E27" s="120">
        <v>586.67</v>
      </c>
      <c r="F27" s="120"/>
      <c r="G27" s="120"/>
      <c r="H27" s="120"/>
      <c r="I27" s="120"/>
      <c r="J27" s="120"/>
    </row>
    <row r="28" spans="2:10" ht="21" customHeight="1">
      <c r="B28" s="17" t="s">
        <v>44</v>
      </c>
      <c r="C28" s="10" t="s">
        <v>45</v>
      </c>
      <c r="D28" s="125">
        <f t="shared" si="2"/>
        <v>153517</v>
      </c>
      <c r="E28" s="125">
        <f aca="true" t="shared" si="3" ref="E28:J28">E30+E31+E32+E33+E34+E37</f>
        <v>153517</v>
      </c>
      <c r="F28" s="125">
        <f t="shared" si="3"/>
        <v>0</v>
      </c>
      <c r="G28" s="125">
        <f t="shared" si="3"/>
        <v>0</v>
      </c>
      <c r="H28" s="125">
        <f t="shared" si="3"/>
        <v>0</v>
      </c>
      <c r="I28" s="125">
        <f t="shared" si="3"/>
        <v>0</v>
      </c>
      <c r="J28" s="125">
        <f t="shared" si="3"/>
        <v>0</v>
      </c>
    </row>
    <row r="29" spans="2:10" ht="9.75" customHeight="1">
      <c r="B29" s="16" t="s">
        <v>32</v>
      </c>
      <c r="C29" s="7"/>
      <c r="D29" s="125"/>
      <c r="E29" s="119"/>
      <c r="F29" s="119"/>
      <c r="G29" s="119"/>
      <c r="H29" s="119"/>
      <c r="I29" s="119"/>
      <c r="J29" s="119"/>
    </row>
    <row r="30" spans="2:10" ht="21" customHeight="1">
      <c r="B30" s="16" t="s">
        <v>46</v>
      </c>
      <c r="C30" s="8" t="s">
        <v>47</v>
      </c>
      <c r="D30" s="125">
        <f t="shared" si="2"/>
        <v>0</v>
      </c>
      <c r="E30" s="120"/>
      <c r="F30" s="120"/>
      <c r="G30" s="120"/>
      <c r="H30" s="120"/>
      <c r="I30" s="120"/>
      <c r="J30" s="120"/>
    </row>
    <row r="31" spans="2:10" ht="21" customHeight="1">
      <c r="B31" s="16" t="s">
        <v>48</v>
      </c>
      <c r="C31" s="8" t="s">
        <v>49</v>
      </c>
      <c r="D31" s="125">
        <f t="shared" si="2"/>
        <v>0</v>
      </c>
      <c r="E31" s="120"/>
      <c r="F31" s="120"/>
      <c r="G31" s="120"/>
      <c r="H31" s="120"/>
      <c r="I31" s="120"/>
      <c r="J31" s="120"/>
    </row>
    <row r="32" spans="2:10" ht="21" customHeight="1">
      <c r="B32" s="16" t="s">
        <v>50</v>
      </c>
      <c r="C32" s="8" t="s">
        <v>51</v>
      </c>
      <c r="D32" s="125">
        <f t="shared" si="2"/>
        <v>0</v>
      </c>
      <c r="E32" s="120"/>
      <c r="F32" s="120"/>
      <c r="G32" s="120"/>
      <c r="H32" s="120"/>
      <c r="I32" s="120"/>
      <c r="J32" s="120"/>
    </row>
    <row r="33" spans="2:10" ht="21" customHeight="1">
      <c r="B33" s="16" t="s">
        <v>52</v>
      </c>
      <c r="C33" s="8" t="s">
        <v>53</v>
      </c>
      <c r="D33" s="125">
        <f t="shared" si="2"/>
        <v>0</v>
      </c>
      <c r="E33" s="120"/>
      <c r="F33" s="120"/>
      <c r="G33" s="120"/>
      <c r="H33" s="120"/>
      <c r="I33" s="120"/>
      <c r="J33" s="120"/>
    </row>
    <row r="34" spans="2:10" ht="21" customHeight="1">
      <c r="B34" s="16" t="s">
        <v>54</v>
      </c>
      <c r="C34" s="6">
        <v>225</v>
      </c>
      <c r="D34" s="125">
        <f t="shared" si="2"/>
        <v>141517</v>
      </c>
      <c r="E34" s="120">
        <v>141517</v>
      </c>
      <c r="F34" s="120"/>
      <c r="G34" s="120"/>
      <c r="H34" s="120"/>
      <c r="I34" s="120"/>
      <c r="J34" s="120"/>
    </row>
    <row r="35" spans="2:10" ht="14.25" customHeight="1">
      <c r="B35" s="16" t="s">
        <v>32</v>
      </c>
      <c r="C35" s="6"/>
      <c r="D35" s="125"/>
      <c r="E35" s="120"/>
      <c r="F35" s="120"/>
      <c r="G35" s="120"/>
      <c r="H35" s="120"/>
      <c r="I35" s="120"/>
      <c r="J35" s="120"/>
    </row>
    <row r="36" spans="2:10" ht="21" customHeight="1">
      <c r="B36" s="16" t="s">
        <v>204</v>
      </c>
      <c r="C36" s="6"/>
      <c r="D36" s="125">
        <f t="shared" si="2"/>
        <v>0</v>
      </c>
      <c r="E36" s="120"/>
      <c r="F36" s="120"/>
      <c r="G36" s="120"/>
      <c r="H36" s="120"/>
      <c r="I36" s="120"/>
      <c r="J36" s="120"/>
    </row>
    <row r="37" spans="2:10" ht="21" customHeight="1">
      <c r="B37" s="16" t="s">
        <v>110</v>
      </c>
      <c r="C37" s="6">
        <v>226</v>
      </c>
      <c r="D37" s="125">
        <f t="shared" si="2"/>
        <v>12000</v>
      </c>
      <c r="E37" s="120">
        <v>12000</v>
      </c>
      <c r="F37" s="120"/>
      <c r="G37" s="120"/>
      <c r="H37" s="120"/>
      <c r="I37" s="120"/>
      <c r="J37" s="120"/>
    </row>
    <row r="38" spans="2:10" ht="16.5" customHeight="1">
      <c r="B38" s="16" t="s">
        <v>32</v>
      </c>
      <c r="C38" s="6"/>
      <c r="D38" s="125"/>
      <c r="E38" s="120"/>
      <c r="F38" s="120"/>
      <c r="G38" s="120"/>
      <c r="H38" s="120"/>
      <c r="I38" s="120"/>
      <c r="J38" s="120"/>
    </row>
    <row r="39" spans="2:10" ht="21" customHeight="1">
      <c r="B39" s="16" t="s">
        <v>205</v>
      </c>
      <c r="C39" s="6"/>
      <c r="D39" s="125">
        <f t="shared" si="2"/>
        <v>0</v>
      </c>
      <c r="E39" s="120"/>
      <c r="F39" s="120"/>
      <c r="G39" s="120"/>
      <c r="H39" s="120"/>
      <c r="I39" s="120"/>
      <c r="J39" s="120"/>
    </row>
    <row r="40" spans="2:10" ht="38.45" customHeight="1">
      <c r="B40" s="17" t="s">
        <v>103</v>
      </c>
      <c r="C40" s="9">
        <v>240</v>
      </c>
      <c r="D40" s="125">
        <f t="shared" si="2"/>
        <v>0</v>
      </c>
      <c r="E40" s="125">
        <f aca="true" t="shared" si="4" ref="E40:J40">E42</f>
        <v>0</v>
      </c>
      <c r="F40" s="125">
        <f t="shared" si="4"/>
        <v>0</v>
      </c>
      <c r="G40" s="125">
        <f t="shared" si="4"/>
        <v>0</v>
      </c>
      <c r="H40" s="125">
        <f t="shared" si="4"/>
        <v>0</v>
      </c>
      <c r="I40" s="125">
        <f t="shared" si="4"/>
        <v>0</v>
      </c>
      <c r="J40" s="125">
        <f t="shared" si="4"/>
        <v>0</v>
      </c>
    </row>
    <row r="41" spans="2:10" ht="15.75" customHeight="1">
      <c r="B41" s="16" t="s">
        <v>32</v>
      </c>
      <c r="C41" s="6"/>
      <c r="D41" s="125"/>
      <c r="E41" s="119"/>
      <c r="F41" s="119"/>
      <c r="G41" s="119"/>
      <c r="H41" s="119"/>
      <c r="I41" s="119"/>
      <c r="J41" s="119"/>
    </row>
    <row r="42" spans="2:10" ht="46.15" customHeight="1">
      <c r="B42" s="18" t="s">
        <v>104</v>
      </c>
      <c r="C42" s="8" t="s">
        <v>55</v>
      </c>
      <c r="D42" s="125">
        <f t="shared" si="2"/>
        <v>0</v>
      </c>
      <c r="E42" s="120"/>
      <c r="F42" s="120"/>
      <c r="G42" s="120"/>
      <c r="H42" s="120"/>
      <c r="I42" s="120"/>
      <c r="J42" s="120"/>
    </row>
    <row r="43" spans="2:10" ht="21" customHeight="1">
      <c r="B43" s="17" t="s">
        <v>56</v>
      </c>
      <c r="C43" s="10" t="s">
        <v>57</v>
      </c>
      <c r="D43" s="125">
        <f t="shared" si="2"/>
        <v>0</v>
      </c>
      <c r="E43" s="125">
        <f aca="true" t="shared" si="5" ref="E43:J43">E45+E46</f>
        <v>0</v>
      </c>
      <c r="F43" s="125">
        <f t="shared" si="5"/>
        <v>0</v>
      </c>
      <c r="G43" s="125">
        <f t="shared" si="5"/>
        <v>0</v>
      </c>
      <c r="H43" s="125">
        <f t="shared" si="5"/>
        <v>0</v>
      </c>
      <c r="I43" s="125">
        <f t="shared" si="5"/>
        <v>0</v>
      </c>
      <c r="J43" s="125">
        <f t="shared" si="5"/>
        <v>0</v>
      </c>
    </row>
    <row r="44" spans="2:10" ht="9.75" customHeight="1">
      <c r="B44" s="16" t="s">
        <v>32</v>
      </c>
      <c r="C44" s="7"/>
      <c r="D44" s="125"/>
      <c r="E44" s="119"/>
      <c r="F44" s="119"/>
      <c r="G44" s="119"/>
      <c r="H44" s="119"/>
      <c r="I44" s="119"/>
      <c r="J44" s="119"/>
    </row>
    <row r="45" spans="2:10" ht="21" customHeight="1">
      <c r="B45" s="16" t="s">
        <v>58</v>
      </c>
      <c r="C45" s="8" t="s">
        <v>59</v>
      </c>
      <c r="D45" s="125">
        <f t="shared" si="2"/>
        <v>0</v>
      </c>
      <c r="E45" s="120"/>
      <c r="F45" s="120"/>
      <c r="G45" s="120"/>
      <c r="H45" s="120"/>
      <c r="I45" s="120"/>
      <c r="J45" s="120"/>
    </row>
    <row r="46" spans="2:10" ht="35.45" customHeight="1">
      <c r="B46" s="16" t="s">
        <v>60</v>
      </c>
      <c r="C46" s="8" t="s">
        <v>61</v>
      </c>
      <c r="D46" s="125">
        <f t="shared" si="2"/>
        <v>0</v>
      </c>
      <c r="E46" s="120"/>
      <c r="F46" s="120"/>
      <c r="G46" s="120"/>
      <c r="H46" s="120"/>
      <c r="I46" s="120"/>
      <c r="J46" s="120"/>
    </row>
    <row r="47" spans="2:10" ht="21" customHeight="1">
      <c r="B47" s="17" t="s">
        <v>62</v>
      </c>
      <c r="C47" s="10" t="s">
        <v>63</v>
      </c>
      <c r="D47" s="125">
        <f t="shared" si="2"/>
        <v>0</v>
      </c>
      <c r="E47" s="121"/>
      <c r="F47" s="121"/>
      <c r="G47" s="121"/>
      <c r="H47" s="121"/>
      <c r="I47" s="121"/>
      <c r="J47" s="121"/>
    </row>
    <row r="48" spans="2:10" ht="35.45" customHeight="1">
      <c r="B48" s="17" t="s">
        <v>64</v>
      </c>
      <c r="C48" s="10" t="s">
        <v>65</v>
      </c>
      <c r="D48" s="125">
        <f t="shared" si="2"/>
        <v>0</v>
      </c>
      <c r="E48" s="125">
        <f aca="true" t="shared" si="6" ref="E48:J48">E50+E51+E52+E53</f>
        <v>0</v>
      </c>
      <c r="F48" s="125">
        <f t="shared" si="6"/>
        <v>0</v>
      </c>
      <c r="G48" s="125">
        <f t="shared" si="6"/>
        <v>0</v>
      </c>
      <c r="H48" s="125">
        <f t="shared" si="6"/>
        <v>0</v>
      </c>
      <c r="I48" s="125">
        <f t="shared" si="6"/>
        <v>0</v>
      </c>
      <c r="J48" s="125">
        <f t="shared" si="6"/>
        <v>0</v>
      </c>
    </row>
    <row r="49" spans="2:10" ht="9.75" customHeight="1">
      <c r="B49" s="16" t="s">
        <v>32</v>
      </c>
      <c r="C49" s="7"/>
      <c r="D49" s="125"/>
      <c r="E49" s="119"/>
      <c r="F49" s="119"/>
      <c r="G49" s="119"/>
      <c r="H49" s="119"/>
      <c r="I49" s="119"/>
      <c r="J49" s="119"/>
    </row>
    <row r="50" spans="2:10" ht="27.6" customHeight="1">
      <c r="B50" s="16" t="s">
        <v>66</v>
      </c>
      <c r="C50" s="8" t="s">
        <v>67</v>
      </c>
      <c r="D50" s="125">
        <f t="shared" si="2"/>
        <v>0</v>
      </c>
      <c r="E50" s="120"/>
      <c r="F50" s="120"/>
      <c r="G50" s="120"/>
      <c r="H50" s="120"/>
      <c r="I50" s="120"/>
      <c r="J50" s="120"/>
    </row>
    <row r="51" spans="2:10" ht="27.6" customHeight="1">
      <c r="B51" s="16" t="s">
        <v>68</v>
      </c>
      <c r="C51" s="8" t="s">
        <v>69</v>
      </c>
      <c r="D51" s="125">
        <f t="shared" si="2"/>
        <v>0</v>
      </c>
      <c r="E51" s="120"/>
      <c r="F51" s="120"/>
      <c r="G51" s="120"/>
      <c r="H51" s="120"/>
      <c r="I51" s="120"/>
      <c r="J51" s="120"/>
    </row>
    <row r="52" spans="2:10" ht="37.9" customHeight="1">
      <c r="B52" s="16" t="s">
        <v>80</v>
      </c>
      <c r="C52" s="8" t="s">
        <v>81</v>
      </c>
      <c r="D52" s="125">
        <f t="shared" si="2"/>
        <v>0</v>
      </c>
      <c r="E52" s="120"/>
      <c r="F52" s="120"/>
      <c r="G52" s="120"/>
      <c r="H52" s="120"/>
      <c r="I52" s="120"/>
      <c r="J52" s="120"/>
    </row>
    <row r="53" spans="2:10" ht="21" customHeight="1">
      <c r="B53" s="16" t="s">
        <v>70</v>
      </c>
      <c r="C53" s="8" t="s">
        <v>71</v>
      </c>
      <c r="D53" s="125">
        <f t="shared" si="2"/>
        <v>0</v>
      </c>
      <c r="E53" s="120"/>
      <c r="F53" s="120"/>
      <c r="G53" s="120"/>
      <c r="H53" s="120"/>
      <c r="I53" s="120"/>
      <c r="J53" s="120"/>
    </row>
    <row r="54" spans="2:10" ht="12.75" customHeight="1">
      <c r="B54" s="16" t="s">
        <v>32</v>
      </c>
      <c r="C54" s="8"/>
      <c r="D54" s="125"/>
      <c r="E54" s="120"/>
      <c r="F54" s="120"/>
      <c r="G54" s="120"/>
      <c r="H54" s="120"/>
      <c r="I54" s="120"/>
      <c r="J54" s="120"/>
    </row>
    <row r="55" spans="2:10" ht="21" customHeight="1">
      <c r="B55" s="16" t="s">
        <v>206</v>
      </c>
      <c r="C55" s="8"/>
      <c r="D55" s="125">
        <f t="shared" si="2"/>
        <v>0</v>
      </c>
      <c r="E55" s="120"/>
      <c r="F55" s="120"/>
      <c r="G55" s="120"/>
      <c r="H55" s="120"/>
      <c r="I55" s="120"/>
      <c r="J55" s="120"/>
    </row>
    <row r="56" spans="2:10" ht="21" customHeight="1">
      <c r="B56" s="16" t="s">
        <v>207</v>
      </c>
      <c r="C56" s="8"/>
      <c r="D56" s="125">
        <f t="shared" si="2"/>
        <v>0</v>
      </c>
      <c r="E56" s="120"/>
      <c r="F56" s="120"/>
      <c r="G56" s="120"/>
      <c r="H56" s="120"/>
      <c r="I56" s="120"/>
      <c r="J56" s="120"/>
    </row>
    <row r="57" spans="2:10" ht="21" customHeight="1">
      <c r="B57" s="16" t="s">
        <v>208</v>
      </c>
      <c r="C57" s="8"/>
      <c r="D57" s="125">
        <f t="shared" si="2"/>
        <v>0</v>
      </c>
      <c r="E57" s="120"/>
      <c r="F57" s="120"/>
      <c r="G57" s="120"/>
      <c r="H57" s="120"/>
      <c r="I57" s="120"/>
      <c r="J57" s="120"/>
    </row>
    <row r="58" spans="2:10" ht="21" customHeight="1">
      <c r="B58" s="16" t="s">
        <v>209</v>
      </c>
      <c r="C58" s="8"/>
      <c r="D58" s="125">
        <f t="shared" si="2"/>
        <v>0</v>
      </c>
      <c r="E58" s="120"/>
      <c r="F58" s="120"/>
      <c r="G58" s="120"/>
      <c r="H58" s="120"/>
      <c r="I58" s="120"/>
      <c r="J58" s="120"/>
    </row>
    <row r="59" spans="2:10" ht="21" customHeight="1">
      <c r="B59" s="17" t="s">
        <v>72</v>
      </c>
      <c r="C59" s="10" t="s">
        <v>73</v>
      </c>
      <c r="D59" s="125">
        <f t="shared" si="2"/>
        <v>0</v>
      </c>
      <c r="E59" s="125">
        <f aca="true" t="shared" si="7" ref="E59:J59">E61+E62</f>
        <v>0</v>
      </c>
      <c r="F59" s="125">
        <f t="shared" si="7"/>
        <v>0</v>
      </c>
      <c r="G59" s="125">
        <f t="shared" si="7"/>
        <v>0</v>
      </c>
      <c r="H59" s="125">
        <f t="shared" si="7"/>
        <v>0</v>
      </c>
      <c r="I59" s="125">
        <f t="shared" si="7"/>
        <v>0</v>
      </c>
      <c r="J59" s="125">
        <f t="shared" si="7"/>
        <v>0</v>
      </c>
    </row>
    <row r="60" spans="2:10" ht="9.75" customHeight="1">
      <c r="B60" s="16" t="s">
        <v>32</v>
      </c>
      <c r="C60" s="7"/>
      <c r="D60" s="125"/>
      <c r="E60" s="119"/>
      <c r="F60" s="119"/>
      <c r="G60" s="119"/>
      <c r="H60" s="119"/>
      <c r="I60" s="119"/>
      <c r="J60" s="119"/>
    </row>
    <row r="61" spans="2:10" ht="33.6" customHeight="1">
      <c r="B61" s="16" t="s">
        <v>74</v>
      </c>
      <c r="C61" s="8" t="s">
        <v>75</v>
      </c>
      <c r="D61" s="125">
        <f t="shared" si="2"/>
        <v>0</v>
      </c>
      <c r="E61" s="120"/>
      <c r="F61" s="120"/>
      <c r="G61" s="120"/>
      <c r="H61" s="120"/>
      <c r="I61" s="120"/>
      <c r="J61" s="120"/>
    </row>
    <row r="62" spans="2:10" ht="31.15" customHeight="1">
      <c r="B62" s="16" t="s">
        <v>76</v>
      </c>
      <c r="C62" s="8" t="s">
        <v>77</v>
      </c>
      <c r="D62" s="125">
        <f t="shared" si="2"/>
        <v>0</v>
      </c>
      <c r="E62" s="120"/>
      <c r="F62" s="120"/>
      <c r="G62" s="120"/>
      <c r="H62" s="120"/>
      <c r="I62" s="120"/>
      <c r="J62" s="120"/>
    </row>
    <row r="63" spans="2:10" ht="9.75" customHeight="1">
      <c r="B63" s="16" t="s">
        <v>78</v>
      </c>
      <c r="C63" s="7"/>
      <c r="D63" s="125"/>
      <c r="E63" s="119"/>
      <c r="F63" s="119"/>
      <c r="G63" s="119"/>
      <c r="H63" s="119"/>
      <c r="I63" s="119"/>
      <c r="J63" s="119"/>
    </row>
    <row r="64" spans="2:10" ht="21" customHeight="1">
      <c r="B64" s="16" t="s">
        <v>79</v>
      </c>
      <c r="C64" s="8" t="s">
        <v>36</v>
      </c>
      <c r="D64" s="125">
        <f t="shared" si="2"/>
        <v>0</v>
      </c>
      <c r="E64" s="120"/>
      <c r="F64" s="120"/>
      <c r="G64" s="120"/>
      <c r="H64" s="120"/>
      <c r="I64" s="120"/>
      <c r="J64" s="120"/>
    </row>
  </sheetData>
  <sheetProtection password="C541" sheet="1" objects="1" scenarios="1" formatCells="0" formatColumns="0"/>
  <mergeCells count="17">
    <mergeCell ref="G8:J8"/>
    <mergeCell ref="H1:J1"/>
    <mergeCell ref="G2:J2"/>
    <mergeCell ref="H3:J3"/>
    <mergeCell ref="G5:J5"/>
    <mergeCell ref="G7:J7"/>
    <mergeCell ref="J17:J18"/>
    <mergeCell ref="B11:J11"/>
    <mergeCell ref="B12:J12"/>
    <mergeCell ref="B13:J13"/>
    <mergeCell ref="B14:J14"/>
    <mergeCell ref="B15:J15"/>
    <mergeCell ref="B17:B18"/>
    <mergeCell ref="C17:C18"/>
    <mergeCell ref="D17:D18"/>
    <mergeCell ref="E17:H17"/>
    <mergeCell ref="I17:I18"/>
  </mergeCells>
  <printOptions horizontalCentered="1"/>
  <pageMargins left="0.1968503937007874" right="0.1968503937007874" top="0.15748031496062992" bottom="0.15748031496062992" header="0.15748031496062992" footer="0.15748031496062992"/>
  <pageSetup fitToHeight="1" fitToWidth="1" horizontalDpi="600" verticalDpi="600" orientation="portrait" paperSize="9" scale="5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A64"/>
  <sheetViews>
    <sheetView view="pageBreakPreview" zoomScale="60" workbookViewId="0" topLeftCell="A37">
      <selection activeCell="G8" sqref="G8:J8"/>
    </sheetView>
  </sheetViews>
  <sheetFormatPr defaultColWidth="9.125" defaultRowHeight="12.75"/>
  <cols>
    <col min="1" max="1" width="1.25" style="279" customWidth="1"/>
    <col min="2" max="2" width="52.875" style="279" customWidth="1"/>
    <col min="3" max="3" width="11.375" style="279" customWidth="1"/>
    <col min="4" max="6" width="16.00390625" style="279" customWidth="1"/>
    <col min="7" max="7" width="16.75390625" style="279" customWidth="1"/>
    <col min="8" max="8" width="14.875" style="279" customWidth="1"/>
    <col min="9" max="9" width="16.00390625" style="279" customWidth="1"/>
    <col min="10" max="10" width="16.25390625" style="279" customWidth="1"/>
    <col min="11" max="16384" width="9.125" style="279" customWidth="1"/>
  </cols>
  <sheetData>
    <row r="1" spans="5:10" ht="12.75">
      <c r="E1" s="280"/>
      <c r="F1" s="280"/>
      <c r="G1" s="281"/>
      <c r="H1" s="448"/>
      <c r="I1" s="448"/>
      <c r="J1" s="448"/>
    </row>
    <row r="2" spans="5:10" ht="12.75" customHeight="1">
      <c r="E2" s="280"/>
      <c r="F2" s="280"/>
      <c r="G2" s="415" t="str">
        <f>'Остаток Обл. бюдж.'!G2:J2</f>
        <v>к протоколу № 2 от 12.03.2015.</v>
      </c>
      <c r="H2" s="415"/>
      <c r="I2" s="415"/>
      <c r="J2" s="415"/>
    </row>
    <row r="3" spans="5:10" ht="12.75">
      <c r="E3" s="280"/>
      <c r="F3" s="280"/>
      <c r="G3" s="281"/>
      <c r="H3" s="449"/>
      <c r="I3" s="449"/>
      <c r="J3" s="449"/>
    </row>
    <row r="4" spans="5:10" ht="13.15" customHeight="1">
      <c r="E4" s="280"/>
      <c r="F4" s="280"/>
      <c r="G4" s="86"/>
      <c r="H4" s="86"/>
      <c r="I4" s="87" t="s">
        <v>8</v>
      </c>
      <c r="J4" s="86"/>
    </row>
    <row r="5" spans="5:10" ht="12.75" customHeight="1">
      <c r="E5" s="280"/>
      <c r="F5" s="280"/>
      <c r="G5" s="410" t="str">
        <f>'Касс. план (50400)'!G5:J5</f>
        <v>Директор АСУСОН ТО "Ишимский геронтологический центр"</v>
      </c>
      <c r="H5" s="410"/>
      <c r="I5" s="410"/>
      <c r="J5" s="410"/>
    </row>
    <row r="6" spans="5:10" ht="11.45" customHeight="1">
      <c r="E6" s="280"/>
      <c r="F6" s="280"/>
      <c r="G6" s="281"/>
      <c r="H6" s="88"/>
      <c r="I6" s="89" t="s">
        <v>113</v>
      </c>
      <c r="J6" s="88"/>
    </row>
    <row r="7" spans="5:10" ht="15.6" customHeight="1">
      <c r="E7" s="280"/>
      <c r="F7" s="280"/>
      <c r="G7" s="413" t="str">
        <f>'Касс. план (50400)'!G7:J7</f>
        <v>Т.И. Сиюткина</v>
      </c>
      <c r="H7" s="413"/>
      <c r="I7" s="413"/>
      <c r="J7" s="413"/>
    </row>
    <row r="8" spans="5:10" ht="10.9" customHeight="1">
      <c r="E8" s="280"/>
      <c r="F8" s="280"/>
      <c r="G8" s="414" t="s">
        <v>136</v>
      </c>
      <c r="H8" s="414"/>
      <c r="I8" s="414"/>
      <c r="J8" s="414"/>
    </row>
    <row r="9" spans="5:10" ht="12.75">
      <c r="E9" s="280"/>
      <c r="F9" s="280"/>
      <c r="G9" s="128" t="s">
        <v>174</v>
      </c>
      <c r="H9" s="92" t="s">
        <v>202</v>
      </c>
      <c r="I9" s="92"/>
      <c r="J9" s="93"/>
    </row>
    <row r="11" spans="2:10" ht="18">
      <c r="B11" s="438" t="s">
        <v>112</v>
      </c>
      <c r="C11" s="438"/>
      <c r="D11" s="438"/>
      <c r="E11" s="438"/>
      <c r="F11" s="438"/>
      <c r="G11" s="438"/>
      <c r="H11" s="438"/>
      <c r="I11" s="438"/>
      <c r="J11" s="438"/>
    </row>
    <row r="12" spans="2:10" ht="32.25" customHeight="1">
      <c r="B12" s="431" t="s">
        <v>182</v>
      </c>
      <c r="C12" s="431"/>
      <c r="D12" s="431"/>
      <c r="E12" s="431"/>
      <c r="F12" s="431"/>
      <c r="G12" s="431"/>
      <c r="H12" s="431"/>
      <c r="I12" s="431"/>
      <c r="J12" s="431"/>
    </row>
    <row r="13" spans="2:10" ht="16.5">
      <c r="B13" s="436" t="s">
        <v>111</v>
      </c>
      <c r="C13" s="436"/>
      <c r="D13" s="436"/>
      <c r="E13" s="436"/>
      <c r="F13" s="436"/>
      <c r="G13" s="436"/>
      <c r="H13" s="436"/>
      <c r="I13" s="436"/>
      <c r="J13" s="436"/>
    </row>
    <row r="14" spans="2:27" ht="12.75" customHeight="1">
      <c r="B14" s="329" t="str">
        <f>'Касс. план Обл. бюдж.'!B14:J14</f>
        <v>Автономное стационарное учреждение социального обслуживания населения Тюменской области "Ишимский геронтологический центр"</v>
      </c>
      <c r="C14" s="329"/>
      <c r="D14" s="329"/>
      <c r="E14" s="329"/>
      <c r="F14" s="329"/>
      <c r="G14" s="329"/>
      <c r="H14" s="329"/>
      <c r="I14" s="329"/>
      <c r="J14" s="329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82"/>
      <c r="X14" s="282"/>
      <c r="Y14" s="282"/>
      <c r="Z14" s="282"/>
      <c r="AA14" s="282"/>
    </row>
    <row r="15" spans="2:27" ht="16.5">
      <c r="B15" s="437" t="s">
        <v>4</v>
      </c>
      <c r="C15" s="437"/>
      <c r="D15" s="437"/>
      <c r="E15" s="437"/>
      <c r="F15" s="437"/>
      <c r="G15" s="437"/>
      <c r="H15" s="437"/>
      <c r="I15" s="437"/>
      <c r="J15" s="437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</row>
    <row r="16" spans="2:27" ht="12.75">
      <c r="B16" s="283"/>
      <c r="C16" s="283"/>
      <c r="D16" s="283"/>
      <c r="E16" s="283"/>
      <c r="F16" s="283"/>
      <c r="G16" s="283"/>
      <c r="H16" s="283"/>
      <c r="I16" s="283"/>
      <c r="J16" s="283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</row>
    <row r="17" spans="2:10" ht="12.75">
      <c r="B17" s="441" t="s">
        <v>11</v>
      </c>
      <c r="C17" s="443" t="s">
        <v>35</v>
      </c>
      <c r="D17" s="439" t="s">
        <v>203</v>
      </c>
      <c r="E17" s="445" t="s">
        <v>98</v>
      </c>
      <c r="F17" s="446"/>
      <c r="G17" s="446"/>
      <c r="H17" s="447"/>
      <c r="I17" s="439" t="s">
        <v>143</v>
      </c>
      <c r="J17" s="439" t="s">
        <v>197</v>
      </c>
    </row>
    <row r="18" spans="2:10" ht="18" customHeight="1">
      <c r="B18" s="442"/>
      <c r="C18" s="444"/>
      <c r="D18" s="440"/>
      <c r="E18" s="284" t="s">
        <v>99</v>
      </c>
      <c r="F18" s="284" t="s">
        <v>100</v>
      </c>
      <c r="G18" s="284" t="s">
        <v>101</v>
      </c>
      <c r="H18" s="284" t="s">
        <v>102</v>
      </c>
      <c r="I18" s="440"/>
      <c r="J18" s="440"/>
    </row>
    <row r="19" spans="2:10" ht="18" customHeight="1">
      <c r="B19" s="285" t="s">
        <v>97</v>
      </c>
      <c r="C19" s="286"/>
      <c r="D19" s="123">
        <f>E19+F19+G19+H19</f>
        <v>0</v>
      </c>
      <c r="E19" s="287">
        <f>'Остаток ХМАО'!E19</f>
        <v>0</v>
      </c>
      <c r="F19" s="287">
        <f>'Остаток ХМАО'!F19</f>
        <v>0</v>
      </c>
      <c r="G19" s="287">
        <f>'Остаток ХМАО'!G19</f>
        <v>0</v>
      </c>
      <c r="H19" s="287">
        <f>'Остаток ХМАО'!H19</f>
        <v>0</v>
      </c>
      <c r="I19" s="287">
        <f>'Остаток ХМАО'!I19</f>
        <v>0</v>
      </c>
      <c r="J19" s="287">
        <f>'Остаток ХМАО'!J19</f>
        <v>0</v>
      </c>
    </row>
    <row r="20" spans="2:10" ht="18" customHeight="1">
      <c r="B20" s="285" t="s">
        <v>106</v>
      </c>
      <c r="C20" s="286">
        <v>180</v>
      </c>
      <c r="D20" s="123">
        <f>E20+F20+G20+H20</f>
        <v>0</v>
      </c>
      <c r="E20" s="123">
        <f aca="true" t="shared" si="0" ref="E20:J20">E22-E19</f>
        <v>0</v>
      </c>
      <c r="F20" s="123">
        <f t="shared" si="0"/>
        <v>0</v>
      </c>
      <c r="G20" s="123">
        <f t="shared" si="0"/>
        <v>0</v>
      </c>
      <c r="H20" s="123">
        <f t="shared" si="0"/>
        <v>0</v>
      </c>
      <c r="I20" s="123">
        <f t="shared" si="0"/>
        <v>0</v>
      </c>
      <c r="J20" s="123">
        <f t="shared" si="0"/>
        <v>0</v>
      </c>
    </row>
    <row r="21" spans="2:10" ht="9.75" customHeight="1">
      <c r="B21" s="285" t="s">
        <v>33</v>
      </c>
      <c r="C21" s="286"/>
      <c r="D21" s="288"/>
      <c r="E21" s="116"/>
      <c r="F21" s="116"/>
      <c r="G21" s="116"/>
      <c r="H21" s="116"/>
      <c r="I21" s="116"/>
      <c r="J21" s="116"/>
    </row>
    <row r="22" spans="2:10" ht="21" customHeight="1">
      <c r="B22" s="285" t="s">
        <v>38</v>
      </c>
      <c r="C22" s="289"/>
      <c r="D22" s="117">
        <f>E22+F22+G22+H22</f>
        <v>0</v>
      </c>
      <c r="E22" s="117">
        <f aca="true" t="shared" si="1" ref="E22:J22">E24+E28+E40+E43+E47+E48+E59</f>
        <v>0</v>
      </c>
      <c r="F22" s="117">
        <f t="shared" si="1"/>
        <v>0</v>
      </c>
      <c r="G22" s="117">
        <f t="shared" si="1"/>
        <v>0</v>
      </c>
      <c r="H22" s="117">
        <f t="shared" si="1"/>
        <v>0</v>
      </c>
      <c r="I22" s="117">
        <f t="shared" si="1"/>
        <v>0</v>
      </c>
      <c r="J22" s="117">
        <f t="shared" si="1"/>
        <v>0</v>
      </c>
    </row>
    <row r="23" spans="2:10" ht="9.75" customHeight="1">
      <c r="B23" s="285" t="s">
        <v>33</v>
      </c>
      <c r="C23" s="289"/>
      <c r="D23" s="290"/>
      <c r="E23" s="119"/>
      <c r="F23" s="119"/>
      <c r="G23" s="119"/>
      <c r="H23" s="119"/>
      <c r="I23" s="119"/>
      <c r="J23" s="119"/>
    </row>
    <row r="24" spans="2:10" ht="27.6" customHeight="1">
      <c r="B24" s="17" t="s">
        <v>105</v>
      </c>
      <c r="C24" s="20">
        <v>210</v>
      </c>
      <c r="D24" s="117">
        <f>E24+F24+G24+H24</f>
        <v>0</v>
      </c>
      <c r="E24" s="117">
        <f aca="true" t="shared" si="2" ref="E24:J24">E25+E26+E27</f>
        <v>0</v>
      </c>
      <c r="F24" s="117">
        <f t="shared" si="2"/>
        <v>0</v>
      </c>
      <c r="G24" s="117">
        <f t="shared" si="2"/>
        <v>0</v>
      </c>
      <c r="H24" s="117">
        <f t="shared" si="2"/>
        <v>0</v>
      </c>
      <c r="I24" s="117">
        <f t="shared" si="2"/>
        <v>0</v>
      </c>
      <c r="J24" s="117">
        <f t="shared" si="2"/>
        <v>0</v>
      </c>
    </row>
    <row r="25" spans="2:10" ht="21" customHeight="1">
      <c r="B25" s="291" t="s">
        <v>39</v>
      </c>
      <c r="C25" s="292" t="s">
        <v>40</v>
      </c>
      <c r="D25" s="290">
        <f>E25+F25+G25+H25</f>
        <v>0</v>
      </c>
      <c r="E25" s="275"/>
      <c r="F25" s="275"/>
      <c r="G25" s="275"/>
      <c r="H25" s="275"/>
      <c r="I25" s="275"/>
      <c r="J25" s="275"/>
    </row>
    <row r="26" spans="2:10" ht="21" customHeight="1">
      <c r="B26" s="291" t="s">
        <v>41</v>
      </c>
      <c r="C26" s="293">
        <v>212</v>
      </c>
      <c r="D26" s="290">
        <f>E26+F26+G26+H26</f>
        <v>0</v>
      </c>
      <c r="E26" s="275"/>
      <c r="F26" s="275"/>
      <c r="G26" s="275"/>
      <c r="H26" s="275"/>
      <c r="I26" s="275"/>
      <c r="J26" s="275"/>
    </row>
    <row r="27" spans="2:10" ht="21" customHeight="1">
      <c r="B27" s="291" t="s">
        <v>42</v>
      </c>
      <c r="C27" s="292" t="s">
        <v>43</v>
      </c>
      <c r="D27" s="290">
        <f>E27+F27+G27+H27</f>
        <v>0</v>
      </c>
      <c r="E27" s="275"/>
      <c r="F27" s="275"/>
      <c r="G27" s="275"/>
      <c r="H27" s="275"/>
      <c r="I27" s="275"/>
      <c r="J27" s="275"/>
    </row>
    <row r="28" spans="2:10" ht="21" customHeight="1">
      <c r="B28" s="17" t="s">
        <v>44</v>
      </c>
      <c r="C28" s="10" t="s">
        <v>45</v>
      </c>
      <c r="D28" s="117">
        <f>E28+F28+G28+H28</f>
        <v>0</v>
      </c>
      <c r="E28" s="117">
        <f aca="true" t="shared" si="3" ref="E28:J28">E30+E31+E32+E33+E34+E37</f>
        <v>0</v>
      </c>
      <c r="F28" s="117">
        <f t="shared" si="3"/>
        <v>0</v>
      </c>
      <c r="G28" s="117">
        <f t="shared" si="3"/>
        <v>0</v>
      </c>
      <c r="H28" s="117">
        <f t="shared" si="3"/>
        <v>0</v>
      </c>
      <c r="I28" s="117">
        <f t="shared" si="3"/>
        <v>0</v>
      </c>
      <c r="J28" s="117">
        <f t="shared" si="3"/>
        <v>0</v>
      </c>
    </row>
    <row r="29" spans="2:10" ht="10.5" customHeight="1">
      <c r="B29" s="291" t="s">
        <v>32</v>
      </c>
      <c r="C29" s="294"/>
      <c r="D29" s="290"/>
      <c r="E29" s="119"/>
      <c r="F29" s="119"/>
      <c r="G29" s="119"/>
      <c r="H29" s="119"/>
      <c r="I29" s="119"/>
      <c r="J29" s="119"/>
    </row>
    <row r="30" spans="2:10" ht="21" customHeight="1">
      <c r="B30" s="291" t="s">
        <v>46</v>
      </c>
      <c r="C30" s="292" t="s">
        <v>47</v>
      </c>
      <c r="D30" s="290">
        <f>E30+F30+G30+H30</f>
        <v>0</v>
      </c>
      <c r="E30" s="275"/>
      <c r="F30" s="275"/>
      <c r="G30" s="275"/>
      <c r="H30" s="275"/>
      <c r="I30" s="275"/>
      <c r="J30" s="275"/>
    </row>
    <row r="31" spans="2:10" ht="21" customHeight="1">
      <c r="B31" s="291" t="s">
        <v>48</v>
      </c>
      <c r="C31" s="292" t="s">
        <v>49</v>
      </c>
      <c r="D31" s="290">
        <f aca="true" t="shared" si="4" ref="D31:D42">E31+F31+G31+H31</f>
        <v>0</v>
      </c>
      <c r="E31" s="275"/>
      <c r="F31" s="275"/>
      <c r="G31" s="275"/>
      <c r="H31" s="275"/>
      <c r="I31" s="275"/>
      <c r="J31" s="275"/>
    </row>
    <row r="32" spans="2:10" ht="21" customHeight="1">
      <c r="B32" s="291" t="s">
        <v>50</v>
      </c>
      <c r="C32" s="292" t="s">
        <v>51</v>
      </c>
      <c r="D32" s="290">
        <f t="shared" si="4"/>
        <v>0</v>
      </c>
      <c r="E32" s="275"/>
      <c r="F32" s="275"/>
      <c r="G32" s="275"/>
      <c r="H32" s="275"/>
      <c r="I32" s="275"/>
      <c r="J32" s="275"/>
    </row>
    <row r="33" spans="2:10" ht="21" customHeight="1">
      <c r="B33" s="291" t="s">
        <v>52</v>
      </c>
      <c r="C33" s="292" t="s">
        <v>53</v>
      </c>
      <c r="D33" s="290">
        <f t="shared" si="4"/>
        <v>0</v>
      </c>
      <c r="E33" s="275"/>
      <c r="F33" s="275"/>
      <c r="G33" s="275"/>
      <c r="H33" s="275"/>
      <c r="I33" s="275"/>
      <c r="J33" s="275"/>
    </row>
    <row r="34" spans="2:10" ht="21" customHeight="1">
      <c r="B34" s="291" t="s">
        <v>54</v>
      </c>
      <c r="C34" s="293">
        <v>225</v>
      </c>
      <c r="D34" s="290">
        <f t="shared" si="4"/>
        <v>0</v>
      </c>
      <c r="E34" s="275"/>
      <c r="F34" s="275"/>
      <c r="G34" s="275"/>
      <c r="H34" s="275"/>
      <c r="I34" s="275"/>
      <c r="J34" s="275"/>
    </row>
    <row r="35" spans="2:10" ht="21" customHeight="1">
      <c r="B35" s="16" t="s">
        <v>32</v>
      </c>
      <c r="C35" s="293"/>
      <c r="D35" s="290">
        <f t="shared" si="4"/>
        <v>0</v>
      </c>
      <c r="E35" s="275"/>
      <c r="F35" s="275"/>
      <c r="G35" s="275"/>
      <c r="H35" s="275"/>
      <c r="I35" s="275"/>
      <c r="J35" s="275"/>
    </row>
    <row r="36" spans="2:10" ht="21" customHeight="1">
      <c r="B36" s="16" t="s">
        <v>204</v>
      </c>
      <c r="C36" s="293"/>
      <c r="D36" s="290">
        <f t="shared" si="4"/>
        <v>0</v>
      </c>
      <c r="E36" s="275"/>
      <c r="F36" s="275"/>
      <c r="G36" s="275"/>
      <c r="H36" s="275"/>
      <c r="I36" s="275"/>
      <c r="J36" s="275"/>
    </row>
    <row r="37" spans="2:10" ht="21" customHeight="1">
      <c r="B37" s="291" t="s">
        <v>110</v>
      </c>
      <c r="C37" s="293">
        <v>226</v>
      </c>
      <c r="D37" s="290">
        <f t="shared" si="4"/>
        <v>0</v>
      </c>
      <c r="E37" s="275"/>
      <c r="F37" s="275"/>
      <c r="G37" s="275"/>
      <c r="H37" s="275"/>
      <c r="I37" s="275"/>
      <c r="J37" s="275"/>
    </row>
    <row r="38" spans="2:10" ht="21" customHeight="1">
      <c r="B38" s="16" t="s">
        <v>32</v>
      </c>
      <c r="C38" s="293"/>
      <c r="D38" s="290">
        <f t="shared" si="4"/>
        <v>0</v>
      </c>
      <c r="E38" s="275"/>
      <c r="F38" s="275"/>
      <c r="G38" s="275"/>
      <c r="H38" s="275"/>
      <c r="I38" s="275"/>
      <c r="J38" s="275"/>
    </row>
    <row r="39" spans="2:10" ht="21" customHeight="1">
      <c r="B39" s="16" t="s">
        <v>205</v>
      </c>
      <c r="C39" s="293"/>
      <c r="D39" s="290">
        <f t="shared" si="4"/>
        <v>0</v>
      </c>
      <c r="E39" s="275"/>
      <c r="F39" s="275"/>
      <c r="G39" s="275"/>
      <c r="H39" s="275"/>
      <c r="I39" s="275"/>
      <c r="J39" s="275"/>
    </row>
    <row r="40" spans="2:10" ht="38.45" customHeight="1">
      <c r="B40" s="17" t="s">
        <v>103</v>
      </c>
      <c r="C40" s="9">
        <v>240</v>
      </c>
      <c r="D40" s="290">
        <f t="shared" si="4"/>
        <v>0</v>
      </c>
      <c r="E40" s="117">
        <f aca="true" t="shared" si="5" ref="E40:J40">E42</f>
        <v>0</v>
      </c>
      <c r="F40" s="117">
        <f t="shared" si="5"/>
        <v>0</v>
      </c>
      <c r="G40" s="117">
        <f t="shared" si="5"/>
        <v>0</v>
      </c>
      <c r="H40" s="117">
        <f t="shared" si="5"/>
        <v>0</v>
      </c>
      <c r="I40" s="117">
        <f t="shared" si="5"/>
        <v>0</v>
      </c>
      <c r="J40" s="117">
        <f t="shared" si="5"/>
        <v>0</v>
      </c>
    </row>
    <row r="41" spans="2:10" ht="9.75" customHeight="1">
      <c r="B41" s="291" t="s">
        <v>32</v>
      </c>
      <c r="C41" s="293"/>
      <c r="D41" s="290">
        <f t="shared" si="4"/>
        <v>0</v>
      </c>
      <c r="E41" s="119"/>
      <c r="F41" s="119"/>
      <c r="G41" s="119"/>
      <c r="H41" s="119"/>
      <c r="I41" s="119"/>
      <c r="J41" s="119"/>
    </row>
    <row r="42" spans="2:10" ht="30.75" customHeight="1">
      <c r="B42" s="291" t="s">
        <v>104</v>
      </c>
      <c r="C42" s="292" t="s">
        <v>55</v>
      </c>
      <c r="D42" s="290">
        <f t="shared" si="4"/>
        <v>0</v>
      </c>
      <c r="E42" s="275"/>
      <c r="F42" s="275"/>
      <c r="G42" s="275"/>
      <c r="H42" s="275"/>
      <c r="I42" s="275"/>
      <c r="J42" s="275"/>
    </row>
    <row r="43" spans="2:10" ht="21" customHeight="1">
      <c r="B43" s="17" t="s">
        <v>56</v>
      </c>
      <c r="C43" s="10" t="s">
        <v>57</v>
      </c>
      <c r="D43" s="117">
        <f>E43+F43+G43+H43</f>
        <v>0</v>
      </c>
      <c r="E43" s="117">
        <f aca="true" t="shared" si="6" ref="E43:J43">E45+E46</f>
        <v>0</v>
      </c>
      <c r="F43" s="117">
        <f t="shared" si="6"/>
        <v>0</v>
      </c>
      <c r="G43" s="117">
        <f t="shared" si="6"/>
        <v>0</v>
      </c>
      <c r="H43" s="117">
        <f t="shared" si="6"/>
        <v>0</v>
      </c>
      <c r="I43" s="117">
        <f t="shared" si="6"/>
        <v>0</v>
      </c>
      <c r="J43" s="117">
        <f t="shared" si="6"/>
        <v>0</v>
      </c>
    </row>
    <row r="44" spans="2:10" ht="10.5" customHeight="1">
      <c r="B44" s="291" t="s">
        <v>32</v>
      </c>
      <c r="C44" s="294"/>
      <c r="D44" s="117"/>
      <c r="E44" s="119"/>
      <c r="F44" s="119"/>
      <c r="G44" s="119"/>
      <c r="H44" s="119"/>
      <c r="I44" s="119"/>
      <c r="J44" s="119"/>
    </row>
    <row r="45" spans="2:10" ht="21" customHeight="1">
      <c r="B45" s="291" t="s">
        <v>58</v>
      </c>
      <c r="C45" s="292" t="s">
        <v>59</v>
      </c>
      <c r="D45" s="117">
        <f>E45+F45+G45+H45</f>
        <v>0</v>
      </c>
      <c r="E45" s="275"/>
      <c r="F45" s="275"/>
      <c r="G45" s="275"/>
      <c r="H45" s="275"/>
      <c r="I45" s="275"/>
      <c r="J45" s="275"/>
    </row>
    <row r="46" spans="2:10" ht="35.45" customHeight="1">
      <c r="B46" s="291" t="s">
        <v>60</v>
      </c>
      <c r="C46" s="292" t="s">
        <v>61</v>
      </c>
      <c r="D46" s="117">
        <f>E46+F46+G46+H46</f>
        <v>0</v>
      </c>
      <c r="E46" s="275"/>
      <c r="F46" s="275"/>
      <c r="G46" s="275"/>
      <c r="H46" s="275"/>
      <c r="I46" s="275"/>
      <c r="J46" s="275"/>
    </row>
    <row r="47" spans="2:10" ht="21" customHeight="1">
      <c r="B47" s="17" t="s">
        <v>62</v>
      </c>
      <c r="C47" s="10" t="s">
        <v>63</v>
      </c>
      <c r="D47" s="117">
        <f>E47+F47+G47+H47</f>
        <v>0</v>
      </c>
      <c r="E47" s="121"/>
      <c r="F47" s="121"/>
      <c r="G47" s="121"/>
      <c r="H47" s="121"/>
      <c r="I47" s="121"/>
      <c r="J47" s="121"/>
    </row>
    <row r="48" spans="2:10" ht="35.45" customHeight="1">
      <c r="B48" s="17" t="s">
        <v>64</v>
      </c>
      <c r="C48" s="10" t="s">
        <v>65</v>
      </c>
      <c r="D48" s="117">
        <f>E48+F48+G48+H48</f>
        <v>0</v>
      </c>
      <c r="E48" s="117">
        <f aca="true" t="shared" si="7" ref="E48:J48">E50+E51+E52+E53</f>
        <v>0</v>
      </c>
      <c r="F48" s="117">
        <f t="shared" si="7"/>
        <v>0</v>
      </c>
      <c r="G48" s="117">
        <f t="shared" si="7"/>
        <v>0</v>
      </c>
      <c r="H48" s="117">
        <f t="shared" si="7"/>
        <v>0</v>
      </c>
      <c r="I48" s="117">
        <f t="shared" si="7"/>
        <v>0</v>
      </c>
      <c r="J48" s="117">
        <f t="shared" si="7"/>
        <v>0</v>
      </c>
    </row>
    <row r="49" spans="2:10" ht="12" customHeight="1">
      <c r="B49" s="291" t="s">
        <v>32</v>
      </c>
      <c r="C49" s="294"/>
      <c r="D49" s="117"/>
      <c r="E49" s="119"/>
      <c r="F49" s="119"/>
      <c r="G49" s="119"/>
      <c r="H49" s="119"/>
      <c r="I49" s="119"/>
      <c r="J49" s="119"/>
    </row>
    <row r="50" spans="2:10" ht="27.6" customHeight="1">
      <c r="B50" s="291" t="s">
        <v>66</v>
      </c>
      <c r="C50" s="292" t="s">
        <v>67</v>
      </c>
      <c r="D50" s="117">
        <f>E50+F50+G50+H50</f>
        <v>0</v>
      </c>
      <c r="E50" s="275"/>
      <c r="F50" s="275"/>
      <c r="G50" s="275"/>
      <c r="H50" s="275"/>
      <c r="I50" s="275"/>
      <c r="J50" s="275"/>
    </row>
    <row r="51" spans="2:10" ht="27.6" customHeight="1">
      <c r="B51" s="291" t="s">
        <v>68</v>
      </c>
      <c r="C51" s="292" t="s">
        <v>69</v>
      </c>
      <c r="D51" s="117">
        <f>E51+F51+G51+H51</f>
        <v>0</v>
      </c>
      <c r="E51" s="275"/>
      <c r="F51" s="275"/>
      <c r="G51" s="275"/>
      <c r="H51" s="275"/>
      <c r="I51" s="275"/>
      <c r="J51" s="275"/>
    </row>
    <row r="52" spans="2:10" ht="37.9" customHeight="1">
      <c r="B52" s="291" t="s">
        <v>80</v>
      </c>
      <c r="C52" s="292" t="s">
        <v>81</v>
      </c>
      <c r="D52" s="117">
        <f>E52+F52+G52+H52</f>
        <v>0</v>
      </c>
      <c r="E52" s="275"/>
      <c r="F52" s="275"/>
      <c r="G52" s="275"/>
      <c r="H52" s="275"/>
      <c r="I52" s="275"/>
      <c r="J52" s="275"/>
    </row>
    <row r="53" spans="2:10" ht="21" customHeight="1">
      <c r="B53" s="291" t="s">
        <v>70</v>
      </c>
      <c r="C53" s="292" t="s">
        <v>71</v>
      </c>
      <c r="D53" s="290">
        <f>E53+F53+G53+H53</f>
        <v>0</v>
      </c>
      <c r="E53" s="275"/>
      <c r="F53" s="275"/>
      <c r="G53" s="275"/>
      <c r="H53" s="275"/>
      <c r="I53" s="275"/>
      <c r="J53" s="275"/>
    </row>
    <row r="54" spans="2:10" ht="21" customHeight="1">
      <c r="B54" s="16" t="s">
        <v>32</v>
      </c>
      <c r="C54" s="292"/>
      <c r="D54" s="290">
        <f aca="true" t="shared" si="8" ref="D54:D58">E54+F54+G54+H54</f>
        <v>0</v>
      </c>
      <c r="E54" s="275"/>
      <c r="F54" s="275"/>
      <c r="G54" s="275"/>
      <c r="H54" s="275"/>
      <c r="I54" s="275"/>
      <c r="J54" s="275"/>
    </row>
    <row r="55" spans="2:10" ht="21" customHeight="1">
      <c r="B55" s="16" t="s">
        <v>206</v>
      </c>
      <c r="C55" s="292"/>
      <c r="D55" s="290">
        <f t="shared" si="8"/>
        <v>0</v>
      </c>
      <c r="E55" s="275"/>
      <c r="F55" s="275"/>
      <c r="G55" s="275"/>
      <c r="H55" s="275"/>
      <c r="I55" s="275"/>
      <c r="J55" s="275"/>
    </row>
    <row r="56" spans="2:10" ht="21" customHeight="1">
      <c r="B56" s="16" t="s">
        <v>207</v>
      </c>
      <c r="C56" s="292"/>
      <c r="D56" s="290">
        <f t="shared" si="8"/>
        <v>0</v>
      </c>
      <c r="E56" s="275"/>
      <c r="F56" s="275"/>
      <c r="G56" s="275"/>
      <c r="H56" s="275"/>
      <c r="I56" s="275"/>
      <c r="J56" s="275"/>
    </row>
    <row r="57" spans="2:10" ht="21" customHeight="1">
      <c r="B57" s="16" t="s">
        <v>208</v>
      </c>
      <c r="C57" s="292"/>
      <c r="D57" s="290">
        <f t="shared" si="8"/>
        <v>0</v>
      </c>
      <c r="E57" s="275"/>
      <c r="F57" s="275"/>
      <c r="G57" s="275"/>
      <c r="H57" s="275"/>
      <c r="I57" s="275"/>
      <c r="J57" s="275"/>
    </row>
    <row r="58" spans="2:10" ht="21" customHeight="1">
      <c r="B58" s="16" t="s">
        <v>209</v>
      </c>
      <c r="C58" s="292"/>
      <c r="D58" s="290">
        <f t="shared" si="8"/>
        <v>0</v>
      </c>
      <c r="E58" s="275"/>
      <c r="F58" s="275"/>
      <c r="G58" s="275"/>
      <c r="H58" s="275"/>
      <c r="I58" s="275"/>
      <c r="J58" s="275"/>
    </row>
    <row r="59" spans="2:10" ht="21" customHeight="1">
      <c r="B59" s="17" t="s">
        <v>72</v>
      </c>
      <c r="C59" s="10" t="s">
        <v>73</v>
      </c>
      <c r="D59" s="117">
        <f>E59+F59+G59+H59</f>
        <v>0</v>
      </c>
      <c r="E59" s="117">
        <f aca="true" t="shared" si="9" ref="E59:J59">E61+E62</f>
        <v>0</v>
      </c>
      <c r="F59" s="117">
        <f t="shared" si="9"/>
        <v>0</v>
      </c>
      <c r="G59" s="117">
        <f t="shared" si="9"/>
        <v>0</v>
      </c>
      <c r="H59" s="117">
        <f t="shared" si="9"/>
        <v>0</v>
      </c>
      <c r="I59" s="117">
        <f t="shared" si="9"/>
        <v>0</v>
      </c>
      <c r="J59" s="117">
        <f t="shared" si="9"/>
        <v>0</v>
      </c>
    </row>
    <row r="60" spans="2:10" ht="10.5" customHeight="1">
      <c r="B60" s="291" t="s">
        <v>32</v>
      </c>
      <c r="C60" s="294"/>
      <c r="D60" s="117"/>
      <c r="E60" s="119"/>
      <c r="F60" s="119"/>
      <c r="G60" s="119"/>
      <c r="H60" s="119"/>
      <c r="I60" s="119"/>
      <c r="J60" s="119"/>
    </row>
    <row r="61" spans="2:10" ht="33.6" customHeight="1">
      <c r="B61" s="291" t="s">
        <v>74</v>
      </c>
      <c r="C61" s="292" t="s">
        <v>75</v>
      </c>
      <c r="D61" s="117">
        <f>E61+F61+G61+H61</f>
        <v>0</v>
      </c>
      <c r="E61" s="275"/>
      <c r="F61" s="275"/>
      <c r="G61" s="275"/>
      <c r="H61" s="275"/>
      <c r="I61" s="275"/>
      <c r="J61" s="275"/>
    </row>
    <row r="62" spans="2:10" ht="31.15" customHeight="1">
      <c r="B62" s="291" t="s">
        <v>76</v>
      </c>
      <c r="C62" s="292" t="s">
        <v>77</v>
      </c>
      <c r="D62" s="117">
        <f>E62+F62+G62+H62</f>
        <v>0</v>
      </c>
      <c r="E62" s="275"/>
      <c r="F62" s="275"/>
      <c r="G62" s="275"/>
      <c r="H62" s="275"/>
      <c r="I62" s="275"/>
      <c r="J62" s="275"/>
    </row>
    <row r="63" spans="2:10" ht="9.75" customHeight="1">
      <c r="B63" s="291" t="s">
        <v>78</v>
      </c>
      <c r="C63" s="294"/>
      <c r="D63" s="117"/>
      <c r="E63" s="119"/>
      <c r="F63" s="119"/>
      <c r="G63" s="119"/>
      <c r="H63" s="119"/>
      <c r="I63" s="119"/>
      <c r="J63" s="119"/>
    </row>
    <row r="64" spans="2:10" ht="21" customHeight="1">
      <c r="B64" s="291" t="s">
        <v>79</v>
      </c>
      <c r="C64" s="292" t="s">
        <v>36</v>
      </c>
      <c r="D64" s="117">
        <f>E64+F64+G64+H64</f>
        <v>0</v>
      </c>
      <c r="E64" s="275"/>
      <c r="F64" s="275"/>
      <c r="G64" s="275"/>
      <c r="H64" s="275"/>
      <c r="I64" s="275"/>
      <c r="J64" s="275"/>
    </row>
  </sheetData>
  <sheetProtection password="C541" sheet="1" objects="1" scenarios="1" formatCells="0" formatColumns="0" formatRows="0"/>
  <mergeCells count="17">
    <mergeCell ref="H1:J1"/>
    <mergeCell ref="G7:J7"/>
    <mergeCell ref="B13:J13"/>
    <mergeCell ref="B14:J14"/>
    <mergeCell ref="G2:J2"/>
    <mergeCell ref="H3:J3"/>
    <mergeCell ref="G5:J5"/>
    <mergeCell ref="G8:J8"/>
    <mergeCell ref="B11:J11"/>
    <mergeCell ref="B12:J12"/>
    <mergeCell ref="B15:J15"/>
    <mergeCell ref="I17:I18"/>
    <mergeCell ref="J17:J18"/>
    <mergeCell ref="B17:B18"/>
    <mergeCell ref="C17:C18"/>
    <mergeCell ref="D17:D18"/>
    <mergeCell ref="E17:H17"/>
  </mergeCells>
  <printOptions horizontalCentered="1"/>
  <pageMargins left="1.1811023622047245" right="0.1968503937007874" top="0.15748031496062992" bottom="0.15748031496062992" header="0.15748031496062992" footer="0.15748031496062992"/>
  <pageSetup fitToHeight="1" fitToWidth="1" horizontalDpi="600" verticalDpi="600" orientation="portrait" paperSize="9" scale="5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2015-03-20T03:57:57Z</cp:lastPrinted>
  <dcterms:created xsi:type="dcterms:W3CDTF">2003-07-22T16:25:37Z</dcterms:created>
  <dcterms:modified xsi:type="dcterms:W3CDTF">2015-03-20T04:02:36Z</dcterms:modified>
  <cp:category/>
  <cp:version/>
  <cp:contentType/>
  <cp:contentStatus/>
</cp:coreProperties>
</file>